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2540" yWindow="100" windowWidth="25600" windowHeight="16060" activeTab="5"/>
  </bookViews>
  <sheets>
    <sheet name="Table_S11" sheetId="24" r:id="rId1"/>
    <sheet name="Table_S12" sheetId="23" r:id="rId2"/>
    <sheet name="Table_S13" sheetId="22" r:id="rId3"/>
    <sheet name="Table_S14" sheetId="21" r:id="rId4"/>
    <sheet name="Table_S15" sheetId="25" r:id="rId5"/>
    <sheet name="Table_S16" sheetId="26" r:id="rId6"/>
  </sheets>
  <externalReferences>
    <externalReference r:id="rId7"/>
    <externalReference r:id="rId8"/>
    <externalReference r:id="rId9"/>
  </externalReferences>
  <definedNames>
    <definedName name="asptkdir">'[1]Set-up'!#REF!</definedName>
    <definedName name="BASECASE">'[1]Set-up'!$C$15</definedName>
    <definedName name="CAPEX">Table_S14!$K$14</definedName>
    <definedName name="CAPEX100">Table_S14!$K$4</definedName>
    <definedName name="CAPEX200" localSheetId="2">[1]DCFROR!$M$5</definedName>
    <definedName name="CAPEX200" localSheetId="3">Table_S14!$M$6</definedName>
    <definedName name="CAPEX200">[2]DCFROR!$M$5</definedName>
    <definedName name="CAPEX300" localSheetId="2">[1]DCFROR!$K$6</definedName>
    <definedName name="CAPEX300" localSheetId="3">Table_S14!$K$7</definedName>
    <definedName name="CAPEX300">[2]DCFROR!$K$6</definedName>
    <definedName name="CAPEX400" localSheetId="2">[1]DCFROR!$K$7</definedName>
    <definedName name="CAPEX400" localSheetId="3">Table_S14!$K$8</definedName>
    <definedName name="CAPEX400">[2]DCFROR!$K$7</definedName>
    <definedName name="CAPEX500" localSheetId="2">[1]DCFROR!$K$8</definedName>
    <definedName name="CAPEX500" localSheetId="3">Table_S14!$K$9</definedName>
    <definedName name="CAPEX500">[2]DCFROR!$K$8</definedName>
    <definedName name="CAPEX600" localSheetId="2">[1]DCFROR!$K$9</definedName>
    <definedName name="CAPEX600" localSheetId="3">Table_S14!$K$10</definedName>
    <definedName name="CAPEX600">[2]DCFROR!$K$9</definedName>
    <definedName name="CAPEX700" localSheetId="2">[1]DCFROR!$K$10</definedName>
    <definedName name="CAPEX700" localSheetId="3">Table_S14!$K$11</definedName>
    <definedName name="CAPEX700">[2]DCFROR!$K$10</definedName>
    <definedName name="CAPEX800" localSheetId="2">[1]DCFROR!$K$11</definedName>
    <definedName name="CAPEX800" localSheetId="3">Table_S14!$K$12</definedName>
    <definedName name="CAPEX800">[2]DCFROR!$K$11</definedName>
    <definedName name="CAPEX900" localSheetId="2">[1]DCFROR!$K$12</definedName>
    <definedName name="CAPEX900" localSheetId="3">Table_S14!$K$13</definedName>
    <definedName name="CAPEX900">[2]DCFROR!$K$12</definedName>
    <definedName name="CAPEXnc">[1]DCFROR!$K$5</definedName>
    <definedName name="CAPEXpt" localSheetId="2">[1]DCFROR!$K$4</definedName>
    <definedName name="CAPEXpt" localSheetId="3">Table_S14!$K$5</definedName>
    <definedName name="CAPEXpt">[2]DCFROR!$K$4</definedName>
    <definedName name="CASEID">'[1]Set-up'!$B$24</definedName>
    <definedName name="cc_per_gal">2.54^3*231</definedName>
    <definedName name="costyear">Table_S14!$B$35</definedName>
    <definedName name="E_Co">2824</definedName>
    <definedName name="E_Cu">4000</definedName>
    <definedName name="E_Fe">3125</definedName>
    <definedName name="E_Ni">1720</definedName>
    <definedName name="ETHMMGAL" localSheetId="2">Table_S13!$B$3</definedName>
    <definedName name="ETHMMGAL" localSheetId="3">[1]OPEX!$B$3</definedName>
    <definedName name="ETHMMGAL">[2]OPEX!$B$3</definedName>
    <definedName name="ETOHRATE" localSheetId="3">[1]OPEX!$B$2</definedName>
    <definedName name="ETOHRATE">Table_S13!$B$2</definedName>
    <definedName name="FCI">[1]DCFROR!$B$4</definedName>
    <definedName name="ISBL">[1]DCFROR!$M$8</definedName>
    <definedName name="IX_CAP">'[1]Set-up'!$G$34</definedName>
    <definedName name="IX_CHEM">'[1]Set-up'!$G$35</definedName>
    <definedName name="IX_ELEC">'[1]Set-up'!$G$37</definedName>
    <definedName name="IX_LABOR">'[1]Set-up'!$G$36</definedName>
    <definedName name="k0_Co">272.3</definedName>
    <definedName name="k0_Cu">0</definedName>
    <definedName name="k0_Fe">3576</definedName>
    <definedName name="k0_Ni">59.91</definedName>
    <definedName name="kg_per_lb">0.4535924</definedName>
    <definedName name="LU_HEAT">'[1]Set-up'!$G$31</definedName>
    <definedName name="LU_MAT">'[1]Set-up'!$G$30</definedName>
    <definedName name="LU_SENS" localSheetId="2">'[1]Set-up'!$G$29</definedName>
    <definedName name="LU_SENS" localSheetId="3">'[1]Set-up'!$G$29</definedName>
    <definedName name="LU_SENS">'[2]Set-up'!$G$29</definedName>
    <definedName name="LU_SENS_2">'[3]Set-up'!$G$29</definedName>
    <definedName name="LU_WORK">'[1]Set-up'!$G$32</definedName>
    <definedName name="n_Co">0.25</definedName>
    <definedName name="n_Cu">1</definedName>
    <definedName name="n_Fe">0.9</definedName>
    <definedName name="n_Ni">1.3</definedName>
    <definedName name="OPHOURS" localSheetId="2">Table_S13!#REF!</definedName>
    <definedName name="OPHOURS" localSheetId="3">[1]OPEX!$B$7</definedName>
    <definedName name="OPHOURS">[2]OPEX!$B$7</definedName>
    <definedName name="_xlnm.Print_Area" localSheetId="3">Table_S14!$A$40:$Y$81</definedName>
    <definedName name="_xlnm.Print_Titles" localSheetId="3">Table_S14!$A:$A</definedName>
    <definedName name="solver_adj" localSheetId="3" hidden="1">Table_S14!$B$36</definedName>
    <definedName name="solver_lin" localSheetId="3" hidden="1">0</definedName>
    <definedName name="solver_num" localSheetId="3" hidden="1">0</definedName>
    <definedName name="solver_opt" localSheetId="3" hidden="1">Table_S14!$B$38</definedName>
    <definedName name="solver_tmp" localSheetId="3" hidden="1">Table_S14!$B$41:$Y$41,Table_S14!#REF!,Table_S14!$B$22:$B$23,Table_S14!$B$19:$B$20,Table_S14!$B$25:$B$33,Table_S14!$B$36</definedName>
    <definedName name="solver_typ" localSheetId="3" hidden="1">3</definedName>
    <definedName name="solver_val" localSheetId="3" hidden="1">0</definedName>
    <definedName name="TPI">Table_S14!$K$28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4" i="26" l="1"/>
  <c r="J95" i="26"/>
  <c r="J96" i="26"/>
  <c r="J97" i="26"/>
  <c r="J98" i="26"/>
  <c r="J99" i="26"/>
  <c r="J100" i="26"/>
  <c r="J101" i="26"/>
  <c r="J102" i="26"/>
  <c r="J103" i="26"/>
  <c r="J106" i="26"/>
  <c r="J105" i="26"/>
  <c r="J104" i="26"/>
  <c r="J71" i="26"/>
  <c r="J72" i="26"/>
  <c r="J73" i="26"/>
  <c r="J74" i="26"/>
  <c r="J75" i="26"/>
  <c r="J76" i="26"/>
  <c r="J77" i="26"/>
  <c r="J78" i="26"/>
  <c r="J79" i="26"/>
  <c r="J80" i="26"/>
  <c r="J81" i="26"/>
  <c r="J82" i="26"/>
  <c r="J83" i="26"/>
  <c r="J84" i="26"/>
  <c r="J85" i="26"/>
  <c r="J86" i="26"/>
  <c r="J87" i="26"/>
  <c r="J90" i="26"/>
  <c r="J89" i="26"/>
  <c r="J88" i="26"/>
  <c r="J4" i="26"/>
  <c r="J5" i="26"/>
  <c r="J6" i="26"/>
  <c r="J7" i="26"/>
  <c r="J8" i="26"/>
  <c r="J9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39" i="26"/>
  <c r="J40" i="26"/>
  <c r="J41" i="26"/>
  <c r="J42" i="26"/>
  <c r="J43" i="26"/>
  <c r="J44" i="26"/>
  <c r="J45" i="26"/>
  <c r="J46" i="26"/>
  <c r="J47" i="26"/>
  <c r="J48" i="26"/>
  <c r="J49" i="26"/>
  <c r="J50" i="26"/>
  <c r="J51" i="26"/>
  <c r="J52" i="26"/>
  <c r="J53" i="26"/>
  <c r="J54" i="26"/>
  <c r="J55" i="26"/>
  <c r="J56" i="26"/>
  <c r="J57" i="26"/>
  <c r="J58" i="26"/>
  <c r="J59" i="26"/>
  <c r="J60" i="26"/>
  <c r="J61" i="26"/>
  <c r="J62" i="26"/>
  <c r="J63" i="26"/>
  <c r="J64" i="26"/>
  <c r="J67" i="26"/>
  <c r="J66" i="26"/>
  <c r="J65" i="26"/>
  <c r="B107" i="25"/>
  <c r="B109" i="25"/>
  <c r="B113" i="25"/>
  <c r="B94" i="25"/>
  <c r="B96" i="25"/>
  <c r="B100" i="25"/>
  <c r="B82" i="25"/>
  <c r="B83" i="25"/>
  <c r="B87" i="25"/>
  <c r="B62" i="25"/>
  <c r="B54" i="25"/>
  <c r="B55" i="25"/>
  <c r="B56" i="25"/>
  <c r="B58" i="25"/>
  <c r="B59" i="25"/>
  <c r="B66" i="25"/>
  <c r="B67" i="25"/>
  <c r="B70" i="25"/>
  <c r="B72" i="25"/>
  <c r="B73" i="25"/>
  <c r="B64" i="25"/>
  <c r="B65" i="25"/>
  <c r="B51" i="25"/>
  <c r="B43" i="25"/>
  <c r="B44" i="25"/>
  <c r="B48" i="25"/>
  <c r="B29" i="25"/>
  <c r="B30" i="25"/>
  <c r="B34" i="25"/>
  <c r="B15" i="25"/>
  <c r="B16" i="25"/>
  <c r="B20" i="25"/>
  <c r="B5" i="25"/>
  <c r="B7" i="25"/>
  <c r="B9" i="25"/>
  <c r="I95" i="24"/>
  <c r="H95" i="24"/>
  <c r="G95" i="24"/>
  <c r="F95" i="24"/>
  <c r="E95" i="24"/>
  <c r="D95" i="24"/>
  <c r="C95" i="24"/>
  <c r="B95" i="24"/>
  <c r="I91" i="24"/>
  <c r="H91" i="24"/>
  <c r="G91" i="24"/>
  <c r="F91" i="24"/>
  <c r="E91" i="24"/>
  <c r="D91" i="24"/>
  <c r="C91" i="24"/>
  <c r="B91" i="24"/>
  <c r="M7" i="22"/>
  <c r="L7" i="22"/>
  <c r="J7" i="22"/>
  <c r="I7" i="22"/>
  <c r="E3" i="22"/>
  <c r="E4" i="22"/>
  <c r="G3" i="22"/>
  <c r="AK81" i="21"/>
</calcChain>
</file>

<file path=xl/comments1.xml><?xml version="1.0" encoding="utf-8"?>
<comments xmlns="http://schemas.openxmlformats.org/spreadsheetml/2006/main">
  <authors>
    <author>mruth</author>
  </authors>
  <commentList>
    <comment ref="B80" authorId="0">
      <text>
        <r>
          <rPr>
            <b/>
            <sz val="8"/>
            <color indexed="81"/>
            <rFont val="Tahoma"/>
            <family val="2"/>
          </rPr>
          <t>mruth:</t>
        </r>
        <r>
          <rPr>
            <sz val="8"/>
            <color indexed="81"/>
            <rFont val="Tahoma"/>
            <family val="2"/>
          </rPr>
          <t xml:space="preserve">
Sum of NPV of Income Tax</t>
        </r>
      </text>
    </comment>
    <comment ref="B81" authorId="0">
      <text>
        <r>
          <rPr>
            <b/>
            <sz val="8"/>
            <color indexed="81"/>
            <rFont val="Tahoma"/>
            <family val="2"/>
          </rPr>
          <t>mruth:</t>
        </r>
        <r>
          <rPr>
            <sz val="8"/>
            <color indexed="81"/>
            <rFont val="Tahoma"/>
            <family val="2"/>
          </rPr>
          <t xml:space="preserve">
Sum of NPV of Ethanol Income</t>
        </r>
      </text>
    </comment>
  </commentList>
</comments>
</file>

<file path=xl/sharedStrings.xml><?xml version="1.0" encoding="utf-8"?>
<sst xmlns="http://schemas.openxmlformats.org/spreadsheetml/2006/main" count="1109" uniqueCount="400">
  <si>
    <t>Avg</t>
  </si>
  <si>
    <t>Name</t>
  </si>
  <si>
    <t>Description</t>
  </si>
  <si>
    <t>Total Capital Investment</t>
  </si>
  <si>
    <t>Total Capital Investment (Rounded Table)</t>
  </si>
  <si>
    <t>Process Area</t>
  </si>
  <si>
    <t>Purchased Cost</t>
  </si>
  <si>
    <t>Installed Cost</t>
  </si>
  <si>
    <t>Assumptions</t>
  </si>
  <si>
    <t>Value</t>
  </si>
  <si>
    <t>Land Requirement</t>
  </si>
  <si>
    <t>Area 100: Feedstock handling*</t>
  </si>
  <si>
    <t>Fixed Capital Investment</t>
  </si>
  <si>
    <t>Acres</t>
  </si>
  <si>
    <t>Area 200: Pretreatment</t>
  </si>
  <si>
    <t xml:space="preserve">   General Plant</t>
  </si>
  <si>
    <t>/acre</t>
  </si>
  <si>
    <t>Area 200: Neutralization</t>
  </si>
  <si>
    <t>Area 200 Total</t>
  </si>
  <si>
    <t xml:space="preserve">   Steam Plant</t>
  </si>
  <si>
    <t>Area 300: Enzymatic Hydrolysis &amp; Fermentation</t>
  </si>
  <si>
    <t>Area 400: Enzyme Production</t>
  </si>
  <si>
    <t>Equity</t>
  </si>
  <si>
    <t>Area 500: Recovery</t>
  </si>
  <si>
    <t>ISBL Total</t>
  </si>
  <si>
    <t xml:space="preserve">   Loan Interest</t>
  </si>
  <si>
    <t>Area 600: Wastewater</t>
  </si>
  <si>
    <t xml:space="preserve">   Loan Term, years</t>
  </si>
  <si>
    <t>Area 700: Storage</t>
  </si>
  <si>
    <t xml:space="preserve">   Annual Loan Payment</t>
  </si>
  <si>
    <t>Area 800: Boiler</t>
  </si>
  <si>
    <t>Periodic expenses</t>
  </si>
  <si>
    <t>No. Bags</t>
  </si>
  <si>
    <t>Area 900: Utilities</t>
  </si>
  <si>
    <t xml:space="preserve">   Baghouse Bags (5 yr life, Ryton MOC)</t>
  </si>
  <si>
    <t>Bag Cost</t>
  </si>
  <si>
    <t>Totals (Excl. Area 100)</t>
  </si>
  <si>
    <t>Quote year</t>
  </si>
  <si>
    <t xml:space="preserve">   Warehouse</t>
  </si>
  <si>
    <t>of ISBL</t>
  </si>
  <si>
    <t xml:space="preserve">   Site Development</t>
  </si>
  <si>
    <t>Working Capital (% of FCI)</t>
  </si>
  <si>
    <t xml:space="preserve">   Additional Piping</t>
  </si>
  <si>
    <t>Salvage Value</t>
  </si>
  <si>
    <t>Total Direct Costs (TDC)</t>
  </si>
  <si>
    <t>Not permitted since 2002</t>
  </si>
  <si>
    <t xml:space="preserve">   Prorateable Expenses</t>
  </si>
  <si>
    <t>of TDC</t>
  </si>
  <si>
    <t xml:space="preserve">   Field Expenses</t>
  </si>
  <si>
    <t>Depreciation Period (Years)</t>
  </si>
  <si>
    <t xml:space="preserve">   Home Office &amp; Construction Fee</t>
  </si>
  <si>
    <t>IRS Pub 946</t>
  </si>
  <si>
    <t xml:space="preserve">   Project Contingency</t>
  </si>
  <si>
    <t>of FCI</t>
  </si>
  <si>
    <t>of PEC</t>
  </si>
  <si>
    <t xml:space="preserve">   Steam/Electricity System</t>
  </si>
  <si>
    <t xml:space="preserve">   Other Costs (Start-Up, Permits, etc.)</t>
  </si>
  <si>
    <t>Construction Period (Years)</t>
  </si>
  <si>
    <t>Total Indirect Costs</t>
  </si>
  <si>
    <t xml:space="preserve">   % Spent in Year -2</t>
  </si>
  <si>
    <t>Fixed Capital Investment (FCI)</t>
  </si>
  <si>
    <t xml:space="preserve">   % Spent in Year -1</t>
  </si>
  <si>
    <t xml:space="preserve">   Land</t>
  </si>
  <si>
    <t xml:space="preserve">   % Spent in Year 0</t>
  </si>
  <si>
    <t xml:space="preserve">   Working Capital</t>
  </si>
  <si>
    <t>Start-up Time (Years)</t>
  </si>
  <si>
    <t>Total Capital Investment (TCI)</t>
  </si>
  <si>
    <t>Working capital statements</t>
  </si>
  <si>
    <t xml:space="preserve">  EtOH production/Feedstock use (% of Normal)</t>
  </si>
  <si>
    <t>P&amp;T 10% of FCI</t>
  </si>
  <si>
    <t xml:space="preserve">  Variable Costs (% of Normal)</t>
  </si>
  <si>
    <t>Lang Factor (FCI/Purchased Equip Cost)</t>
  </si>
  <si>
    <t>One month opcost</t>
  </si>
  <si>
    <t>Lang Factor (TCI/Purchased Equip Cost)</t>
  </si>
  <si>
    <t xml:space="preserve">  Fixed Cost (% of Normal)</t>
  </si>
  <si>
    <t>TCI per annual gallon</t>
  </si>
  <si>
    <t>$7.23/gal</t>
  </si>
  <si>
    <t>One year opcost</t>
  </si>
  <si>
    <t>Discount Rate (Internal Rate of Return [IRR])</t>
  </si>
  <si>
    <t>Short et. al</t>
  </si>
  <si>
    <t>Garrett 10% of annual</t>
  </si>
  <si>
    <t>Income Tax Rate</t>
  </si>
  <si>
    <t>2007 Dollars</t>
  </si>
  <si>
    <t>Garrett 35% of annual</t>
  </si>
  <si>
    <t>Ethanol Production Rate (MMgal/yr)</t>
  </si>
  <si>
    <t>ASPEN</t>
  </si>
  <si>
    <t>*Feedstock Handling not included in this calculation</t>
  </si>
  <si>
    <t>DW1102A</t>
  </si>
  <si>
    <t>5% of FCI</t>
  </si>
  <si>
    <t>Cost Year for Analysis</t>
  </si>
  <si>
    <t>Minimum Ethanol Selling Price ($/gal)</t>
  </si>
  <si>
    <t>Manipulated Value</t>
  </si>
  <si>
    <t>Delta-T factor</t>
  </si>
  <si>
    <t>Net Present Value</t>
  </si>
  <si>
    <t>Targeted Value</t>
  </si>
  <si>
    <t>DCFROR Worksheet</t>
  </si>
  <si>
    <t>Year</t>
  </si>
  <si>
    <t>Land</t>
  </si>
  <si>
    <t>Working Capital</t>
  </si>
  <si>
    <t xml:space="preserve"> </t>
  </si>
  <si>
    <t>Loan Payment</t>
  </si>
  <si>
    <t xml:space="preserve">   Loan Interest Payment</t>
  </si>
  <si>
    <t xml:space="preserve">   Loan Principal</t>
  </si>
  <si>
    <t xml:space="preserve">   Ethanol Sales</t>
  </si>
  <si>
    <t xml:space="preserve">   By-Product Credit</t>
  </si>
  <si>
    <t>Total Annual Sales</t>
  </si>
  <si>
    <t>Annual Manufacturing Cost</t>
  </si>
  <si>
    <t xml:space="preserve">   Feedstock</t>
  </si>
  <si>
    <t xml:space="preserve">   Baghouse Bags</t>
  </si>
  <si>
    <t xml:space="preserve">   Other Variable Costs</t>
  </si>
  <si>
    <t xml:space="preserve">   Fixed Operating Costs</t>
  </si>
  <si>
    <t>Total Product Cost</t>
  </si>
  <si>
    <t>Annual Depreciation</t>
  </si>
  <si>
    <t>General Plant Writedown</t>
  </si>
  <si>
    <t xml:space="preserve">     Depreciation Charge</t>
  </si>
  <si>
    <t xml:space="preserve">     Remaining Value</t>
  </si>
  <si>
    <t>Steam Plant Writedown</t>
  </si>
  <si>
    <t>Net Revenue</t>
  </si>
  <si>
    <t>Losses Forward</t>
  </si>
  <si>
    <t>Taxable Income</t>
  </si>
  <si>
    <t>Income Tax</t>
  </si>
  <si>
    <t>Annual Cash Income</t>
  </si>
  <si>
    <t>Discount Factor</t>
  </si>
  <si>
    <t>Annual Present Value</t>
  </si>
  <si>
    <t>Total Capital Investment + Interest</t>
  </si>
  <si>
    <t>Net Present Worth</t>
  </si>
  <si>
    <t>If taxable income &lt; 0, tax = $0</t>
  </si>
  <si>
    <t>Loan Interest subtracted from taxable income.</t>
  </si>
  <si>
    <t>Loan payment subtracted from annual cash income</t>
  </si>
  <si>
    <t>Interest on construction loan added to investment</t>
  </si>
  <si>
    <t>NPV of Income Tax</t>
  </si>
  <si>
    <t>NPV of Ethanol Income</t>
  </si>
  <si>
    <t>Ethanol Stream</t>
  </si>
  <si>
    <t>cmix.ethanol.a500.515</t>
  </si>
  <si>
    <t>Ethanol Production Rate (kg/hr)</t>
  </si>
  <si>
    <t>Ethanol Production Rate (MM gal/yr)</t>
  </si>
  <si>
    <t>Feedstock Dry Tons/yr</t>
  </si>
  <si>
    <t>Biomass Feed + Boiler</t>
  </si>
  <si>
    <t>gal/ton</t>
  </si>
  <si>
    <t>Variable Operating Costs</t>
  </si>
  <si>
    <t>Costing Code</t>
  </si>
  <si>
    <t>Raw Material</t>
  </si>
  <si>
    <t>Stream No.</t>
  </si>
  <si>
    <t>kg/hr</t>
  </si>
  <si>
    <t>lb/hr</t>
  </si>
  <si>
    <t>Quoted Price (cents / ton)</t>
  </si>
  <si>
    <t>Year of Price Quote</t>
  </si>
  <si>
    <t>$/hour</t>
  </si>
  <si>
    <t>Raw Materials</t>
  </si>
  <si>
    <t>KOH</t>
  </si>
  <si>
    <t>NA</t>
  </si>
  <si>
    <t>2-Octanol</t>
  </si>
  <si>
    <t>by year</t>
  </si>
  <si>
    <t>Octanoic Acid</t>
  </si>
  <si>
    <t>$/kg</t>
  </si>
  <si>
    <t>Hexanoic Acid</t>
  </si>
  <si>
    <t>Mechanical Equipment List</t>
  </si>
  <si>
    <t>Scaled Installed Costs</t>
  </si>
  <si>
    <t>EQPT NO</t>
  </si>
  <si>
    <t>EQUIPMENT TITLE</t>
  </si>
  <si>
    <t>VENDOR</t>
  </si>
  <si>
    <t>MODEL</t>
  </si>
  <si>
    <t>DESCRIPTION</t>
  </si>
  <si>
    <t>HP</t>
  </si>
  <si>
    <t>MATERIAL</t>
  </si>
  <si>
    <t>QUOTE INFO</t>
  </si>
  <si>
    <t>NUM REQD</t>
  </si>
  <si>
    <t>$</t>
  </si>
  <si>
    <t>Year of Quote</t>
  </si>
  <si>
    <t>Purch Cost in Base Yr</t>
  </si>
  <si>
    <t>Scaling Variable</t>
  </si>
  <si>
    <t>Scaling Val</t>
  </si>
  <si>
    <t>Units</t>
  </si>
  <si>
    <t>Scaling Exp</t>
  </si>
  <si>
    <t>Inst Factor</t>
  </si>
  <si>
    <t>New Val</t>
  </si>
  <si>
    <t>Size Ratio</t>
  </si>
  <si>
    <t>Scaled Purch Cost</t>
  </si>
  <si>
    <t>Purch Cost in Proj year</t>
  </si>
  <si>
    <t>Inst Cost in Proj year</t>
  </si>
  <si>
    <t>Mixed Culture Fermentation Reactor</t>
  </si>
  <si>
    <t>4 Million Gallon with Cover</t>
  </si>
  <si>
    <t>CONCRETE</t>
  </si>
  <si>
    <t>strm.a600.601</t>
  </si>
  <si>
    <t>MG</t>
  </si>
  <si>
    <t>Mixed Culture Fermentation Stillage Feed Pumps</t>
  </si>
  <si>
    <t>2500 gpm submersible rail mounted</t>
  </si>
  <si>
    <t>Caustic Feed System</t>
  </si>
  <si>
    <t>0-300 gph</t>
  </si>
  <si>
    <t>Liquid-Liquid Extraction</t>
  </si>
  <si>
    <r>
      <t>4,700 ft</t>
    </r>
    <r>
      <rPr>
        <vertAlign val="superscript"/>
        <sz val="10"/>
        <rFont val="Arial"/>
      </rPr>
      <t>3</t>
    </r>
  </si>
  <si>
    <t>316SS</t>
  </si>
  <si>
    <t>ea</t>
  </si>
  <si>
    <t xml:space="preserve">Solvent Feed System </t>
  </si>
  <si>
    <t>50 gpm</t>
  </si>
  <si>
    <t>gpm</t>
  </si>
  <si>
    <t>Distillation Column 1 (Solvent Recovery)</t>
  </si>
  <si>
    <r>
      <t>630 ft</t>
    </r>
    <r>
      <rPr>
        <vertAlign val="superscript"/>
        <sz val="10"/>
        <rFont val="Arial"/>
      </rPr>
      <t>3</t>
    </r>
  </si>
  <si>
    <t>Distillation Column 2 (MCFA Separation)</t>
  </si>
  <si>
    <r>
      <t>240 ft</t>
    </r>
    <r>
      <rPr>
        <vertAlign val="superscript"/>
        <sz val="10"/>
        <rFont val="Arial"/>
      </rPr>
      <t>3</t>
    </r>
  </si>
  <si>
    <t>kg/h</t>
  </si>
  <si>
    <t>Condenser</t>
  </si>
  <si>
    <t>Temperature</t>
  </si>
  <si>
    <t>C</t>
  </si>
  <si>
    <t>Subcooled temperature</t>
  </si>
  <si>
    <t>Heat duty</t>
  </si>
  <si>
    <t>Gcal/hr</t>
  </si>
  <si>
    <t>Subcooled duty</t>
  </si>
  <si>
    <t>Distillate rate</t>
  </si>
  <si>
    <t>kmol/hr</t>
  </si>
  <si>
    <t>Reflux rate</t>
  </si>
  <si>
    <t>Reflux ratio</t>
  </si>
  <si>
    <t>Free water distillate rate</t>
  </si>
  <si>
    <t>Free water reflux ratio</t>
  </si>
  <si>
    <t>Distillate to feed ratio</t>
  </si>
  <si>
    <t>Reboiler</t>
  </si>
  <si>
    <t>Bottoms rate</t>
  </si>
  <si>
    <t>Boilup rate</t>
  </si>
  <si>
    <t>Boilup ratio</t>
  </si>
  <si>
    <t>Bottoms to feed ratio</t>
  </si>
  <si>
    <t>AQU5</t>
  </si>
  <si>
    <t>EXTRACT5</t>
  </si>
  <si>
    <t>MCFEFF5</t>
  </si>
  <si>
    <t>S3SOLREC</t>
  </si>
  <si>
    <t>S4</t>
  </si>
  <si>
    <t>S5OCTA</t>
  </si>
  <si>
    <t>S6HEXA</t>
  </si>
  <si>
    <t>SOLVENT5</t>
  </si>
  <si>
    <t>B3</t>
  </si>
  <si>
    <t>2OCTSOL2</t>
  </si>
  <si>
    <t>B4</t>
  </si>
  <si>
    <t>LIQUID</t>
  </si>
  <si>
    <t xml:space="preserve">Substream: MIXED          </t>
  </si>
  <si>
    <t xml:space="preserve">Mole Flow   kmol/hr       </t>
  </si>
  <si>
    <t xml:space="preserve">  WATER                   </t>
  </si>
  <si>
    <t xml:space="preserve">  HEXACID                 </t>
  </si>
  <si>
    <t xml:space="preserve">  OCTACID                 </t>
  </si>
  <si>
    <t xml:space="preserve">  2OCTANOL                </t>
  </si>
  <si>
    <t xml:space="preserve">  BUTA                    </t>
  </si>
  <si>
    <t xml:space="preserve">  ACTA                    </t>
  </si>
  <si>
    <t xml:space="preserve">  BUTANOL                 </t>
  </si>
  <si>
    <t xml:space="preserve">Mass Flow   kg/hr         </t>
  </si>
  <si>
    <t xml:space="preserve">Total Flow  kmol/hr       </t>
  </si>
  <si>
    <t xml:space="preserve">Total Flow  kg/hr         </t>
  </si>
  <si>
    <t xml:space="preserve">Total Flow  l/min         </t>
  </si>
  <si>
    <t xml:space="preserve">Temperature C             </t>
  </si>
  <si>
    <t xml:space="preserve">Pressure    bar           </t>
  </si>
  <si>
    <t xml:space="preserve">Vapor Frac                </t>
  </si>
  <si>
    <t xml:space="preserve">Liquid Frac               </t>
  </si>
  <si>
    <t xml:space="preserve">Solid Frac                </t>
  </si>
  <si>
    <t xml:space="preserve">Enthalpy    cal/mol       </t>
  </si>
  <si>
    <t xml:space="preserve">Enthalpy    cal/gm        </t>
  </si>
  <si>
    <t xml:space="preserve">Enthalpy    cal/sec       </t>
  </si>
  <si>
    <t xml:space="preserve">Entropy     cal/mol-K     </t>
  </si>
  <si>
    <t xml:space="preserve">Entropy     cal/gm-K      </t>
  </si>
  <si>
    <t xml:space="preserve">Density     mol/cc        </t>
  </si>
  <si>
    <t xml:space="preserve">Density     gm/cc         </t>
  </si>
  <si>
    <t xml:space="preserve">Average MW                </t>
  </si>
  <si>
    <t xml:space="preserve">Liq Vol 60F l/min         </t>
  </si>
  <si>
    <t xml:space="preserve">*** ALL PHASES ***        </t>
  </si>
  <si>
    <t xml:space="preserve">QVALNET     Gcal/kg       </t>
  </si>
  <si>
    <t>API Low Heating Value (Ref @ 16°C) - Gcal/hr</t>
  </si>
  <si>
    <t>Total Flow (mgd)</t>
  </si>
  <si>
    <t>Mixed Culture Fermentation Reactors</t>
  </si>
  <si>
    <t>Parameter</t>
  </si>
  <si>
    <t>Notes</t>
  </si>
  <si>
    <t>Influent Flow Rate</t>
  </si>
  <si>
    <t>L/min</t>
  </si>
  <si>
    <t>From ASPEN Mass Balance</t>
  </si>
  <si>
    <t>MGD</t>
  </si>
  <si>
    <t>Solids Rentention Time</t>
  </si>
  <si>
    <t>d</t>
  </si>
  <si>
    <t>SRT used operations of MCF reactor in this study</t>
  </si>
  <si>
    <t>Required Volume</t>
  </si>
  <si>
    <t>Number of Reactors</t>
  </si>
  <si>
    <t>Volume Per Reactor</t>
  </si>
  <si>
    <r>
      <t>Scaling Exponent</t>
    </r>
    <r>
      <rPr>
        <vertAlign val="superscript"/>
        <sz val="12"/>
        <color indexed="8"/>
        <rFont val="Calibri"/>
      </rPr>
      <t>1</t>
    </r>
  </si>
  <si>
    <t>Standard value; Same as used in NREL TEA</t>
  </si>
  <si>
    <r>
      <t>Installation Factor</t>
    </r>
    <r>
      <rPr>
        <vertAlign val="superscript"/>
        <sz val="12"/>
        <color indexed="8"/>
        <rFont val="Calibri"/>
      </rPr>
      <t>2</t>
    </r>
  </si>
  <si>
    <t>Installation included in quote for anaeorbic digesters</t>
  </si>
  <si>
    <t>Scaling Value</t>
  </si>
  <si>
    <t>Volume used for NREL TEA Anerobic Digester Quote</t>
  </si>
  <si>
    <t>New Value</t>
  </si>
  <si>
    <t>Unscaled Cost</t>
  </si>
  <si>
    <t>Scaled Cost</t>
  </si>
  <si>
    <t>Cost Index for Quote Year</t>
  </si>
  <si>
    <t>Cost Index for 2007</t>
  </si>
  <si>
    <t>Total Cost</t>
  </si>
  <si>
    <t>Nuber of Pumps</t>
  </si>
  <si>
    <t>Installation included in quote for pumps</t>
  </si>
  <si>
    <t>kghr</t>
  </si>
  <si>
    <t>Mass flow rate used for NREL TEA Feed Pump Quote</t>
  </si>
  <si>
    <t>Mixed Culture Fermentation Caustic  Pumps</t>
  </si>
  <si>
    <t>Scaling Exponent</t>
  </si>
  <si>
    <t>Installation Factor</t>
  </si>
  <si>
    <t>Total 2007 Cost</t>
  </si>
  <si>
    <t>Total Influent Flow</t>
  </si>
  <si>
    <t xml:space="preserve">MCF Effluent  + Solvent </t>
  </si>
  <si>
    <r>
      <t>ft</t>
    </r>
    <r>
      <rPr>
        <vertAlign val="superscript"/>
        <sz val="12"/>
        <color indexed="8"/>
        <rFont val="Calibri"/>
      </rPr>
      <t>3</t>
    </r>
    <r>
      <rPr>
        <sz val="10"/>
        <rFont val="Arial"/>
      </rPr>
      <t>/hr</t>
    </r>
  </si>
  <si>
    <t xml:space="preserve">Max Throughput </t>
  </si>
  <si>
    <r>
      <t>ft</t>
    </r>
    <r>
      <rPr>
        <vertAlign val="superscript"/>
        <sz val="12"/>
        <color indexed="8"/>
        <rFont val="Calibri"/>
      </rPr>
      <t>3</t>
    </r>
    <r>
      <rPr>
        <sz val="10"/>
        <rFont val="Arial"/>
      </rPr>
      <t>/ft</t>
    </r>
    <r>
      <rPr>
        <vertAlign val="superscript"/>
        <sz val="12"/>
        <color indexed="8"/>
        <rFont val="Calibri"/>
      </rPr>
      <t>2</t>
    </r>
    <r>
      <rPr>
        <sz val="10"/>
        <rFont val="Arial"/>
      </rPr>
      <t xml:space="preserve"> -hr</t>
    </r>
  </si>
  <si>
    <t xml:space="preserve">From Sedier, et al. 2009. </t>
  </si>
  <si>
    <t>Minimum Cross Sectioal Area</t>
  </si>
  <si>
    <r>
      <t>f</t>
    </r>
    <r>
      <rPr>
        <sz val="10"/>
        <rFont val="Arial"/>
      </rPr>
      <t>t</t>
    </r>
    <r>
      <rPr>
        <vertAlign val="superscript"/>
        <sz val="12"/>
        <color indexed="8"/>
        <rFont val="Calibri"/>
      </rPr>
      <t>2</t>
    </r>
  </si>
  <si>
    <t>Safety Factor</t>
  </si>
  <si>
    <t>Required Cross Sectional Area</t>
  </si>
  <si>
    <t>Number of Units</t>
  </si>
  <si>
    <t>Area Per Unit</t>
  </si>
  <si>
    <t>Diameter of Each Unit</t>
  </si>
  <si>
    <t>ft</t>
  </si>
  <si>
    <t>Stages</t>
  </si>
  <si>
    <t>HETP</t>
  </si>
  <si>
    <t>Total Stage Height</t>
  </si>
  <si>
    <t>Free Board Each End</t>
  </si>
  <si>
    <t>Working Volume Per Unit</t>
  </si>
  <si>
    <r>
      <t>ft</t>
    </r>
    <r>
      <rPr>
        <vertAlign val="superscript"/>
        <sz val="12"/>
        <color indexed="8"/>
        <rFont val="Calibri"/>
      </rPr>
      <t>3</t>
    </r>
  </si>
  <si>
    <t>Total Volume Per Unit</t>
  </si>
  <si>
    <t>S</t>
  </si>
  <si>
    <t>S = H*D^1.5, From Seider et al. 2009</t>
  </si>
  <si>
    <t>Raw Cost (2001 USD)</t>
  </si>
  <si>
    <t>C = 320*S^0.84, From Seider et al. 2009</t>
  </si>
  <si>
    <t xml:space="preserve">2001 Cost Index </t>
  </si>
  <si>
    <t>2007 Cost Index</t>
  </si>
  <si>
    <t>2007 Raw Cost</t>
  </si>
  <si>
    <t>Used in NREL TEA for similar process capital costs</t>
  </si>
  <si>
    <t>Cost Per Unit</t>
  </si>
  <si>
    <t xml:space="preserve">Total Cost </t>
  </si>
  <si>
    <t>Solvent Feed Pump</t>
  </si>
  <si>
    <t>Used for similar sized Cellulase Transfer Pumps in NREL TEA</t>
  </si>
  <si>
    <t>Based on cost for Cellulase Pumps in NREL TEA</t>
  </si>
  <si>
    <t>Distilation Column 1 (Solvent Recovery)</t>
  </si>
  <si>
    <t>Cost for Beer Distillation Column in NREL TEA</t>
  </si>
  <si>
    <t>Used for similar sized Beer Distillation Column in NREL TEA</t>
  </si>
  <si>
    <t>Distilation Column 1 (MCFA Separation)</t>
  </si>
  <si>
    <t>Date</t>
  </si>
  <si>
    <t>HS Code</t>
  </si>
  <si>
    <t>Origin Country</t>
  </si>
  <si>
    <t>Port of Discharge</t>
  </si>
  <si>
    <t>Unit</t>
  </si>
  <si>
    <t>Quantity</t>
  </si>
  <si>
    <t>Value (INR)</t>
  </si>
  <si>
    <t>Per Unit (INR)</t>
  </si>
  <si>
    <t>Per Unit (USD)</t>
  </si>
  <si>
    <t>CAPRIC CAPRYLIC ACID (C 810)</t>
  </si>
  <si>
    <t>Malaysia</t>
  </si>
  <si>
    <t>Kolkata Sea</t>
  </si>
  <si>
    <t>KGS</t>
  </si>
  <si>
    <t>CAPRYLIC - CAPRIC ACID (ISOTANK)</t>
  </si>
  <si>
    <t>Indonesia</t>
  </si>
  <si>
    <t>Nhava Sheva Sea</t>
  </si>
  <si>
    <t>CAPRYLIC - CAPRIC ACID PALMERA A5608 (ISOTANK)</t>
  </si>
  <si>
    <t>CAPRYLIC ACID</t>
  </si>
  <si>
    <t>China</t>
  </si>
  <si>
    <t>CAPRYLIC ACID (OCTANOIC ACID )</t>
  </si>
  <si>
    <t>CAPRYLIC ACID (OCTANOIC ACID)</t>
  </si>
  <si>
    <t>CAPRYLIC ACID 99% MIN</t>
  </si>
  <si>
    <t>CAPRYLIC ACID C-899 (ADC LIST NO: 386/387)</t>
  </si>
  <si>
    <t>Chennai Sea</t>
  </si>
  <si>
    <t>CAPRYLIC ACID C899</t>
  </si>
  <si>
    <t>CAPRYLIC ACID C899 (ADC LIST NO: 381)</t>
  </si>
  <si>
    <t>CAPRYLIC CAPRIC ACID (ISOTANK)</t>
  </si>
  <si>
    <t>EMERY 657 (CAPRYLIC ACID98% MIN)</t>
  </si>
  <si>
    <t>KORTACID 0899 (K) P CAPRYLIC ACID 99% FATTY ACID C8 99.6%</t>
  </si>
  <si>
    <t>KORTACID 0899 (K) P CAPRYLIC ACID 99% FATTY ACID C8 99.7%</t>
  </si>
  <si>
    <t>OCTAANZUUR (OCTANOIC ACID) (USE IN PRINTING INDUSTRY )</t>
  </si>
  <si>
    <t>Belgium</t>
  </si>
  <si>
    <t>OCTAANZUUR (OCTANOIC ACID) (USE IN PRINTING INDUSTRY)</t>
  </si>
  <si>
    <t>PALMAC 99-08 CAPRYLIC ACID (ADC LIST NO:386/387)</t>
  </si>
  <si>
    <t>PALMAC 99-08 CAPRYLIC ACID(ADC LIST NO: 381)</t>
  </si>
  <si>
    <t>PALMERA A9908 CAPRYLIC ACID 99 % LIQUID</t>
  </si>
  <si>
    <t>PALMERA A9908 CAPRYLIC ACID 99 PCT LIQUID(OCTOIC ACID)</t>
  </si>
  <si>
    <t>Min</t>
  </si>
  <si>
    <t>Max</t>
  </si>
  <si>
    <t>Per Unit USD</t>
  </si>
  <si>
    <t>CAPROIC ACID 99% LIQUID (AROMATIC CHEMICALS)</t>
  </si>
  <si>
    <t>CAPROIC ACID (INVOICE NO. 234/BJ/2015-16/CAPROIC ACID)</t>
  </si>
  <si>
    <t>United States</t>
  </si>
  <si>
    <t>CAPROIC ACID</t>
  </si>
  <si>
    <t>CAPROIC ACID 99 PERCENT LIQUID</t>
  </si>
  <si>
    <t>CAPROIC ACID 99 PCT LIQUID</t>
  </si>
  <si>
    <t>CAPROIC ACID 99% MIN (PALMERA C0699)</t>
  </si>
  <si>
    <t>PALMERA CAPROIC ACID A9906</t>
  </si>
  <si>
    <t>CAPROIC ACID (ADC.SL.NO.383)</t>
  </si>
  <si>
    <t>2-OCTANOL (CAPRYL ALCOHOL) (PACKED 1 INLIQUID BULK TANK CONTAINER) </t>
  </si>
  <si>
    <t>Netherlands</t>
  </si>
  <si>
    <t>2-OCTANOL /CAPRYL ALCOHOL. </t>
  </si>
  <si>
    <t>2-OCTANOL (CAPRYL ALCOHOL) </t>
  </si>
  <si>
    <t>2-OCTANOL /CAPRYL ALCOHOL </t>
  </si>
  <si>
    <t>2-OCTANOL (CAPRYL ALCOHOL) (PACKED 60 DRUMS RE-PACKED ON 15 PALLETS) </t>
  </si>
  <si>
    <t>2-OCTANOL //CAPRYL ALCOHOL </t>
  </si>
  <si>
    <t>Distillation Column 1</t>
  </si>
  <si>
    <t>Distillation Column 2</t>
  </si>
  <si>
    <t>Solvent 2octanol Mass Flow</t>
  </si>
  <si>
    <t xml:space="preserve">Table S11. Summary of process modeling for liquid-liquid extraction, solvent distillation, and MCFA separation with ASPEN </t>
  </si>
  <si>
    <t>Table S12. Summary of capital expenses added to the NREL TEA</t>
  </si>
  <si>
    <t>Additional Product Revenues</t>
  </si>
  <si>
    <t>Table S13. Summary of operating expenses and additional product revenues added to NREL TEA</t>
  </si>
  <si>
    <t xml:space="preserve">Table S14. 30 year cash flow from NREL TEA updated to include MCFA production expenses and revenues. </t>
  </si>
  <si>
    <t xml:space="preserve">Table S15. Calculations for additional capital expenses </t>
  </si>
  <si>
    <t>Table S16. Chemical costs for octanoic acid, hexanoic acid and 2-octanol obatined from Zauba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</si>
</sst>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-&quot;$&quot;#,##0"/>
    <numFmt numFmtId="165" formatCode="_-&quot;$&quot;* #,##0.00_-;\-&quot;$&quot;* #,##0.00_-;_-&quot;$&quot;* &quot;-&quot;??_-;_-@_-"/>
    <numFmt numFmtId="166" formatCode="0.000"/>
    <numFmt numFmtId="167" formatCode="0.0%"/>
    <numFmt numFmtId="168" formatCode="0.0"/>
    <numFmt numFmtId="169" formatCode="#,##0.0"/>
    <numFmt numFmtId="170" formatCode="[$-F400]h:mm:ss\ AM/PM"/>
    <numFmt numFmtId="171" formatCode="_(&quot;$&quot;* #,##0_);_(&quot;$&quot;* \(#,##0\);_(&quot;$&quot;* &quot;-&quot;??_);_(@_)"/>
    <numFmt numFmtId="172" formatCode="#,##0.0_);\(#,##0.0\)"/>
    <numFmt numFmtId="173" formatCode="&quot;$&quot;#,##0.0000_);[Red]\(&quot;$&quot;#,##0.00\)"/>
    <numFmt numFmtId="174" formatCode="&quot;$&quot;#,##0.00_);[Red]\(&quot;$&quot;#,##0\)"/>
    <numFmt numFmtId="175" formatCode="&quot;$&quot;#,##0"/>
    <numFmt numFmtId="176" formatCode="0.0000"/>
    <numFmt numFmtId="177" formatCode="General_)"/>
    <numFmt numFmtId="178" formatCode="&quot;$&quot;#,##0.00"/>
    <numFmt numFmtId="179" formatCode="0;0;0;@\-"/>
    <numFmt numFmtId="180" formatCode="0\ &quot;HP&quot;"/>
    <numFmt numFmtId="181" formatCode="&quot;$&quot;#,##0.0;[Red]\-&quot;$&quot;#,##0.0"/>
    <numFmt numFmtId="182" formatCode="#,##0.0_ ;[Red]\-#,##0.0\ "/>
    <numFmt numFmtId="183" formatCode="0_ ;[Red]\-0\ "/>
  </numFmts>
  <fonts count="34" x14ac:knownFonts="1">
    <font>
      <sz val="10"/>
      <name val="Arial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</font>
    <font>
      <u/>
      <sz val="10"/>
      <color theme="11"/>
      <name val="Arial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0"/>
      <color theme="0"/>
      <name val="Verdana"/>
      <family val="2"/>
    </font>
    <font>
      <sz val="8"/>
      <name val="Verdan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6"/>
      <name val="Verdana"/>
      <family val="2"/>
    </font>
    <font>
      <sz val="6"/>
      <name val="Verdana"/>
      <family val="2"/>
    </font>
    <font>
      <sz val="10"/>
      <name val="Courier"/>
    </font>
    <font>
      <b/>
      <sz val="12"/>
      <name val="Verdana"/>
      <family val="2"/>
    </font>
    <font>
      <vertAlign val="superscript"/>
      <sz val="10"/>
      <name val="Arial"/>
    </font>
    <font>
      <b/>
      <sz val="14"/>
      <color theme="1"/>
      <name val="Calibri"/>
      <scheme val="minor"/>
    </font>
    <font>
      <vertAlign val="superscript"/>
      <sz val="12"/>
      <color indexed="8"/>
      <name val="Calibri"/>
    </font>
    <font>
      <sz val="12"/>
      <name val="Calibri"/>
      <scheme val="minor"/>
    </font>
    <font>
      <b/>
      <sz val="16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</font>
    <font>
      <sz val="11"/>
      <name val="Verdana"/>
    </font>
    <font>
      <sz val="14"/>
      <name val="Arial"/>
    </font>
    <font>
      <b/>
      <sz val="12"/>
      <color theme="1"/>
      <name val="Calibri"/>
    </font>
    <font>
      <sz val="12"/>
      <color theme="1"/>
      <name val="Calibri"/>
    </font>
    <font>
      <sz val="14"/>
      <color theme="1"/>
      <name val="Arial"/>
    </font>
    <font>
      <b/>
      <sz val="14"/>
      <name val="Arial"/>
    </font>
    <font>
      <sz val="14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 diagonalDown="1"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4">
    <xf numFmtId="0" fontId="0" fillId="0" borderId="1"/>
    <xf numFmtId="0" fontId="4" fillId="0" borderId="0"/>
    <xf numFmtId="9" fontId="4" fillId="0" borderId="0" applyFon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170" fontId="3" fillId="0" borderId="0"/>
    <xf numFmtId="17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7" fontId="18" fillId="0" borderId="0"/>
    <xf numFmtId="43" fontId="3" fillId="0" borderId="0" applyFont="0" applyFill="0" applyBorder="0" applyAlignment="0" applyProtection="0"/>
    <xf numFmtId="170" fontId="3" fillId="0" borderId="0"/>
    <xf numFmtId="0" fontId="1" fillId="0" borderId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/>
    <xf numFmtId="170" fontId="4" fillId="0" borderId="0"/>
    <xf numFmtId="177" fontId="18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7" fontId="18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</cellStyleXfs>
  <cellXfs count="303">
    <xf numFmtId="0" fontId="0" fillId="0" borderId="1" xfId="0"/>
    <xf numFmtId="170" fontId="9" fillId="0" borderId="0" xfId="217" applyNumberFormat="1" applyFont="1" applyAlignment="1">
      <alignment horizontal="left" vertical="center"/>
    </xf>
    <xf numFmtId="170" fontId="10" fillId="0" borderId="0" xfId="217" applyNumberFormat="1" applyFont="1" applyAlignment="1">
      <alignment vertical="center"/>
    </xf>
    <xf numFmtId="170" fontId="10" fillId="0" borderId="0" xfId="217" applyNumberFormat="1" applyFont="1" applyAlignment="1">
      <alignment horizontal="centerContinuous" vertical="center"/>
    </xf>
    <xf numFmtId="2" fontId="10" fillId="0" borderId="0" xfId="217" applyNumberFormat="1" applyFont="1" applyAlignment="1">
      <alignment horizontal="centerContinuous" vertical="center"/>
    </xf>
    <xf numFmtId="2" fontId="10" fillId="0" borderId="0" xfId="217" applyNumberFormat="1" applyFont="1" applyAlignment="1">
      <alignment vertical="center"/>
    </xf>
    <xf numFmtId="2" fontId="10" fillId="0" borderId="0" xfId="217" applyNumberFormat="1" applyFont="1"/>
    <xf numFmtId="5" fontId="11" fillId="0" borderId="0" xfId="218" applyNumberFormat="1" applyFont="1" applyAlignment="1">
      <alignment vertical="center"/>
    </xf>
    <xf numFmtId="170" fontId="10" fillId="0" borderId="0" xfId="218" applyNumberFormat="1" applyFont="1" applyAlignment="1">
      <alignment vertical="center"/>
    </xf>
    <xf numFmtId="170" fontId="10" fillId="0" borderId="0" xfId="217" applyNumberFormat="1" applyFont="1"/>
    <xf numFmtId="170" fontId="10" fillId="0" borderId="0" xfId="217" applyFont="1"/>
    <xf numFmtId="170" fontId="12" fillId="2" borderId="8" xfId="218" applyNumberFormat="1" applyFont="1" applyFill="1" applyBorder="1" applyAlignment="1">
      <alignment horizontal="left" vertical="center"/>
    </xf>
    <xf numFmtId="170" fontId="12" fillId="2" borderId="9" xfId="218" applyNumberFormat="1" applyFont="1" applyFill="1" applyBorder="1" applyAlignment="1">
      <alignment horizontal="center" vertical="center"/>
    </xf>
    <xf numFmtId="170" fontId="12" fillId="2" borderId="10" xfId="218" applyNumberFormat="1" applyFont="1" applyFill="1" applyBorder="1" applyAlignment="1">
      <alignment horizontal="center" vertical="center"/>
    </xf>
    <xf numFmtId="170" fontId="12" fillId="2" borderId="11" xfId="218" applyNumberFormat="1" applyFont="1" applyFill="1" applyBorder="1" applyAlignment="1">
      <alignment horizontal="center" vertical="center"/>
    </xf>
    <xf numFmtId="170" fontId="9" fillId="0" borderId="0" xfId="217" applyNumberFormat="1" applyFont="1" applyAlignment="1">
      <alignment horizontal="center" vertical="center"/>
    </xf>
    <xf numFmtId="170" fontId="10" fillId="0" borderId="12" xfId="218" applyNumberFormat="1" applyFont="1" applyBorder="1" applyAlignment="1">
      <alignment vertical="center"/>
    </xf>
    <xf numFmtId="170" fontId="10" fillId="0" borderId="0" xfId="217" applyNumberFormat="1" applyFont="1" applyBorder="1"/>
    <xf numFmtId="171" fontId="10" fillId="0" borderId="7" xfId="219" applyNumberFormat="1" applyFont="1" applyBorder="1" applyAlignment="1">
      <alignment vertical="center"/>
    </xf>
    <xf numFmtId="171" fontId="10" fillId="0" borderId="11" xfId="219" applyNumberFormat="1" applyFont="1" applyBorder="1" applyAlignment="1">
      <alignment vertical="center"/>
    </xf>
    <xf numFmtId="168" fontId="10" fillId="0" borderId="0" xfId="218" applyNumberFormat="1" applyFont="1" applyAlignment="1">
      <alignment vertical="center"/>
    </xf>
    <xf numFmtId="170" fontId="10" fillId="0" borderId="0" xfId="217" applyNumberFormat="1" applyFont="1" applyAlignment="1">
      <alignment horizontal="left" vertical="center"/>
    </xf>
    <xf numFmtId="5" fontId="10" fillId="0" borderId="0" xfId="217" applyNumberFormat="1" applyFont="1" applyFill="1" applyAlignment="1">
      <alignment horizontal="right" vertical="center"/>
    </xf>
    <xf numFmtId="1" fontId="10" fillId="0" borderId="0" xfId="217" applyNumberFormat="1" applyFont="1" applyAlignment="1">
      <alignment vertical="center"/>
    </xf>
    <xf numFmtId="171" fontId="10" fillId="0" borderId="13" xfId="219" applyNumberFormat="1" applyFont="1" applyBorder="1" applyAlignment="1">
      <alignment vertical="center"/>
    </xf>
    <xf numFmtId="6" fontId="10" fillId="0" borderId="0" xfId="217" applyNumberFormat="1" applyFont="1" applyAlignment="1">
      <alignment vertical="center"/>
    </xf>
    <xf numFmtId="2" fontId="10" fillId="0" borderId="0" xfId="217" quotePrefix="1" applyNumberFormat="1" applyFont="1" applyAlignment="1">
      <alignment vertical="center"/>
    </xf>
    <xf numFmtId="170" fontId="10" fillId="0" borderId="0" xfId="217" applyNumberFormat="1" applyFont="1" applyAlignment="1">
      <alignment horizontal="right"/>
    </xf>
    <xf numFmtId="171" fontId="10" fillId="0" borderId="0" xfId="219" applyNumberFormat="1" applyFont="1" applyAlignment="1">
      <alignment vertical="center"/>
    </xf>
    <xf numFmtId="9" fontId="10" fillId="3" borderId="0" xfId="217" applyNumberFormat="1" applyFont="1" applyFill="1" applyAlignment="1">
      <alignment horizontal="right" vertical="center"/>
    </xf>
    <xf numFmtId="171" fontId="10" fillId="0" borderId="0" xfId="218" applyNumberFormat="1" applyFont="1" applyAlignment="1">
      <alignment vertical="center"/>
    </xf>
    <xf numFmtId="167" fontId="10" fillId="3" borderId="0" xfId="217" applyNumberFormat="1" applyFont="1" applyFill="1" applyAlignment="1">
      <alignment horizontal="right" vertical="center"/>
    </xf>
    <xf numFmtId="37" fontId="10" fillId="3" borderId="0" xfId="217" applyNumberFormat="1" applyFont="1" applyFill="1" applyAlignment="1">
      <alignment horizontal="right" vertical="center"/>
    </xf>
    <xf numFmtId="5" fontId="10" fillId="0" borderId="0" xfId="217" applyNumberFormat="1" applyFont="1" applyAlignment="1">
      <alignment horizontal="right" vertical="center"/>
    </xf>
    <xf numFmtId="1" fontId="10" fillId="3" borderId="0" xfId="217" applyNumberFormat="1" applyFont="1" applyFill="1" applyAlignment="1">
      <alignment vertical="center"/>
    </xf>
    <xf numFmtId="44" fontId="10" fillId="3" borderId="0" xfId="219" applyFont="1" applyFill="1" applyAlignment="1">
      <alignment vertical="center"/>
    </xf>
    <xf numFmtId="170" fontId="9" fillId="4" borderId="14" xfId="218" quotePrefix="1" applyNumberFormat="1" applyFont="1" applyFill="1" applyBorder="1" applyAlignment="1">
      <alignment horizontal="left" vertical="center"/>
    </xf>
    <xf numFmtId="171" fontId="9" fillId="4" borderId="15" xfId="219" applyNumberFormat="1" applyFont="1" applyFill="1" applyBorder="1" applyAlignment="1">
      <alignment vertical="center"/>
    </xf>
    <xf numFmtId="171" fontId="9" fillId="4" borderId="16" xfId="219" applyNumberFormat="1" applyFont="1" applyFill="1" applyBorder="1" applyAlignment="1">
      <alignment vertical="center"/>
    </xf>
    <xf numFmtId="171" fontId="9" fillId="4" borderId="17" xfId="218" applyNumberFormat="1" applyFont="1" applyFill="1" applyBorder="1" applyAlignment="1">
      <alignment vertical="center"/>
    </xf>
    <xf numFmtId="170" fontId="10" fillId="0" borderId="12" xfId="218" quotePrefix="1" applyNumberFormat="1" applyFont="1" applyBorder="1" applyAlignment="1">
      <alignment horizontal="left" vertical="center"/>
    </xf>
    <xf numFmtId="167" fontId="10" fillId="0" borderId="0" xfId="220" applyNumberFormat="1" applyFont="1" applyBorder="1" applyAlignment="1">
      <alignment vertical="center"/>
    </xf>
    <xf numFmtId="170" fontId="10" fillId="0" borderId="0" xfId="218" applyNumberFormat="1" applyFont="1" applyBorder="1" applyAlignment="1">
      <alignment vertical="center"/>
    </xf>
    <xf numFmtId="171" fontId="10" fillId="0" borderId="0" xfId="217" applyNumberFormat="1" applyFont="1"/>
    <xf numFmtId="10" fontId="10" fillId="3" borderId="0" xfId="220" applyNumberFormat="1" applyFont="1" applyFill="1" applyAlignment="1">
      <alignment horizontal="right" vertical="center"/>
    </xf>
    <xf numFmtId="170" fontId="10" fillId="0" borderId="12" xfId="217" applyNumberFormat="1" applyFont="1" applyBorder="1"/>
    <xf numFmtId="171" fontId="10" fillId="0" borderId="0" xfId="219" applyNumberFormat="1" applyFont="1"/>
    <xf numFmtId="170" fontId="10" fillId="0" borderId="0" xfId="217" quotePrefix="1" applyNumberFormat="1" applyFont="1" applyAlignment="1">
      <alignment horizontal="left" vertical="center"/>
    </xf>
    <xf numFmtId="170" fontId="9" fillId="0" borderId="12" xfId="218" quotePrefix="1" applyNumberFormat="1" applyFont="1" applyBorder="1" applyAlignment="1">
      <alignment horizontal="left" vertical="center"/>
    </xf>
    <xf numFmtId="167" fontId="10" fillId="0" borderId="0" xfId="218" applyNumberFormat="1" applyFont="1" applyBorder="1" applyAlignment="1">
      <alignment vertical="center"/>
    </xf>
    <xf numFmtId="171" fontId="9" fillId="0" borderId="13" xfId="219" applyNumberFormat="1" applyFont="1" applyBorder="1" applyAlignment="1">
      <alignment vertical="center"/>
    </xf>
    <xf numFmtId="167" fontId="10" fillId="0" borderId="0" xfId="220" applyNumberFormat="1" applyFont="1"/>
    <xf numFmtId="170" fontId="9" fillId="0" borderId="12" xfId="217" applyNumberFormat="1" applyFont="1" applyBorder="1"/>
    <xf numFmtId="171" fontId="9" fillId="0" borderId="13" xfId="217" applyNumberFormat="1" applyFont="1" applyBorder="1"/>
    <xf numFmtId="9" fontId="10" fillId="0" borderId="0" xfId="220" applyFont="1"/>
    <xf numFmtId="9" fontId="10" fillId="3" borderId="0" xfId="217" applyNumberFormat="1" applyFont="1" applyFill="1" applyAlignment="1">
      <alignment vertical="center"/>
    </xf>
    <xf numFmtId="170" fontId="9" fillId="0" borderId="12" xfId="218" applyNumberFormat="1" applyFont="1" applyBorder="1" applyAlignment="1">
      <alignment horizontal="left" vertical="center"/>
    </xf>
    <xf numFmtId="9" fontId="10" fillId="0" borderId="0" xfId="217" applyNumberFormat="1" applyFont="1" applyAlignment="1">
      <alignment vertical="center"/>
    </xf>
    <xf numFmtId="10" fontId="10" fillId="0" borderId="0" xfId="220" applyNumberFormat="1" applyFont="1" applyAlignment="1">
      <alignment vertical="center"/>
    </xf>
    <xf numFmtId="2" fontId="10" fillId="3" borderId="0" xfId="217" applyNumberFormat="1" applyFont="1" applyFill="1" applyAlignment="1">
      <alignment vertical="center"/>
    </xf>
    <xf numFmtId="170" fontId="9" fillId="0" borderId="12" xfId="218" applyNumberFormat="1" applyFont="1" applyBorder="1" applyAlignment="1">
      <alignment vertical="center"/>
    </xf>
    <xf numFmtId="170" fontId="10" fillId="0" borderId="13" xfId="217" applyNumberFormat="1" applyFont="1" applyBorder="1"/>
    <xf numFmtId="172" fontId="10" fillId="0" borderId="13" xfId="218" applyNumberFormat="1" applyFont="1" applyBorder="1" applyAlignment="1">
      <alignment horizontal="right" vertical="center"/>
    </xf>
    <xf numFmtId="39" fontId="10" fillId="0" borderId="13" xfId="218" applyNumberFormat="1" applyFont="1" applyBorder="1" applyAlignment="1">
      <alignment horizontal="right" vertical="center"/>
    </xf>
    <xf numFmtId="10" fontId="10" fillId="3" borderId="0" xfId="217" applyNumberFormat="1" applyFont="1" applyFill="1" applyAlignment="1">
      <alignment vertical="center"/>
    </xf>
    <xf numFmtId="5" fontId="10" fillId="0" borderId="12" xfId="218" applyNumberFormat="1" applyFont="1" applyBorder="1" applyAlignment="1">
      <alignment horizontal="left" vertical="center"/>
    </xf>
    <xf numFmtId="3" fontId="10" fillId="0" borderId="0" xfId="217" applyNumberFormat="1" applyFont="1" applyAlignment="1">
      <alignment vertical="center"/>
    </xf>
    <xf numFmtId="170" fontId="10" fillId="0" borderId="18" xfId="217" applyNumberFormat="1" applyFont="1" applyBorder="1"/>
    <xf numFmtId="170" fontId="10" fillId="0" borderId="19" xfId="217" applyNumberFormat="1" applyFont="1" applyBorder="1"/>
    <xf numFmtId="170" fontId="13" fillId="0" borderId="20" xfId="218" applyNumberFormat="1" applyFont="1" applyBorder="1" applyAlignment="1">
      <alignment horizontal="right" vertical="center"/>
    </xf>
    <xf numFmtId="170" fontId="10" fillId="0" borderId="0" xfId="217" quotePrefix="1" applyNumberFormat="1" applyFont="1" applyBorder="1" applyAlignment="1">
      <alignment horizontal="center" vertical="center"/>
    </xf>
    <xf numFmtId="170" fontId="9" fillId="0" borderId="0" xfId="217" quotePrefix="1" applyNumberFormat="1" applyFont="1" applyAlignment="1">
      <alignment horizontal="left" vertical="center"/>
    </xf>
    <xf numFmtId="173" fontId="9" fillId="5" borderId="0" xfId="217" applyNumberFormat="1" applyFont="1" applyFill="1" applyAlignment="1">
      <alignment vertical="center"/>
    </xf>
    <xf numFmtId="170" fontId="9" fillId="0" borderId="0" xfId="217" applyNumberFormat="1" applyFont="1" applyAlignment="1">
      <alignment vertical="center"/>
    </xf>
    <xf numFmtId="8" fontId="10" fillId="0" borderId="0" xfId="217" applyNumberFormat="1" applyFont="1" applyBorder="1" applyAlignment="1">
      <alignment horizontal="center" vertical="center"/>
    </xf>
    <xf numFmtId="174" fontId="10" fillId="0" borderId="0" xfId="217" applyNumberFormat="1" applyFont="1" applyBorder="1" applyAlignment="1">
      <alignment horizontal="center" vertical="center"/>
    </xf>
    <xf numFmtId="173" fontId="9" fillId="0" borderId="0" xfId="217" applyNumberFormat="1" applyFont="1" applyAlignment="1">
      <alignment vertical="center"/>
    </xf>
    <xf numFmtId="170" fontId="10" fillId="0" borderId="0" xfId="217" applyNumberFormat="1" applyFont="1" applyBorder="1" applyAlignment="1">
      <alignment vertical="center"/>
    </xf>
    <xf numFmtId="5" fontId="9" fillId="0" borderId="0" xfId="217" applyNumberFormat="1" applyFont="1" applyAlignment="1">
      <alignment vertical="center"/>
    </xf>
    <xf numFmtId="170" fontId="9" fillId="0" borderId="0" xfId="217" quotePrefix="1" applyNumberFormat="1" applyFont="1" applyAlignment="1">
      <alignment horizontal="left"/>
    </xf>
    <xf numFmtId="5" fontId="10" fillId="0" borderId="0" xfId="217" applyNumberFormat="1" applyFont="1"/>
    <xf numFmtId="1" fontId="10" fillId="6" borderId="21" xfId="217" applyNumberFormat="1" applyFont="1" applyFill="1" applyBorder="1" applyAlignment="1">
      <alignment vertical="center"/>
    </xf>
    <xf numFmtId="1" fontId="9" fillId="6" borderId="21" xfId="217" applyNumberFormat="1" applyFont="1" applyFill="1" applyBorder="1" applyAlignment="1">
      <alignment horizontal="center" vertical="center"/>
    </xf>
    <xf numFmtId="1" fontId="10" fillId="0" borderId="0" xfId="217" applyNumberFormat="1" applyFont="1" applyBorder="1" applyAlignment="1">
      <alignment vertical="center"/>
    </xf>
    <xf numFmtId="175" fontId="10" fillId="0" borderId="0" xfId="217" applyNumberFormat="1" applyFont="1" applyBorder="1" applyAlignment="1">
      <alignment vertical="center"/>
    </xf>
    <xf numFmtId="170" fontId="10" fillId="0" borderId="0" xfId="217" applyFont="1" applyBorder="1" applyAlignment="1">
      <alignment vertical="center"/>
    </xf>
    <xf numFmtId="5" fontId="10" fillId="0" borderId="0" xfId="217" applyNumberFormat="1" applyFont="1" applyAlignment="1">
      <alignment vertical="center"/>
    </xf>
    <xf numFmtId="5" fontId="10" fillId="0" borderId="0" xfId="217" applyNumberFormat="1" applyFont="1" applyBorder="1" applyAlignment="1">
      <alignment vertical="center"/>
    </xf>
    <xf numFmtId="170" fontId="10" fillId="0" borderId="19" xfId="217" applyNumberFormat="1" applyFont="1" applyBorder="1" applyAlignment="1">
      <alignment vertical="center"/>
    </xf>
    <xf numFmtId="5" fontId="10" fillId="0" borderId="19" xfId="217" applyNumberFormat="1" applyFont="1" applyBorder="1" applyAlignment="1">
      <alignment vertical="center"/>
    </xf>
    <xf numFmtId="175" fontId="10" fillId="0" borderId="19" xfId="217" applyNumberFormat="1" applyFont="1" applyBorder="1" applyAlignment="1">
      <alignment vertical="center"/>
    </xf>
    <xf numFmtId="9" fontId="10" fillId="0" borderId="0" xfId="220" applyFont="1" applyAlignment="1">
      <alignment vertical="center"/>
    </xf>
    <xf numFmtId="170" fontId="10" fillId="0" borderId="0" xfId="217" applyFont="1" applyAlignment="1">
      <alignment vertical="center"/>
    </xf>
    <xf numFmtId="170" fontId="10" fillId="0" borderId="19" xfId="217" applyFont="1" applyBorder="1" applyAlignment="1">
      <alignment vertical="center"/>
    </xf>
    <xf numFmtId="176" fontId="10" fillId="0" borderId="0" xfId="217" applyNumberFormat="1" applyFont="1" applyAlignment="1">
      <alignment vertical="center"/>
    </xf>
    <xf numFmtId="176" fontId="10" fillId="0" borderId="0" xfId="217" applyNumberFormat="1" applyFont="1" applyBorder="1" applyAlignment="1">
      <alignment vertical="center"/>
    </xf>
    <xf numFmtId="7" fontId="10" fillId="0" borderId="0" xfId="217" applyNumberFormat="1" applyFont="1" applyAlignment="1">
      <alignment vertical="center"/>
    </xf>
    <xf numFmtId="5" fontId="10" fillId="0" borderId="0" xfId="217" applyNumberFormat="1" applyFont="1" applyFill="1" applyAlignment="1">
      <alignment vertical="center"/>
    </xf>
    <xf numFmtId="170" fontId="10" fillId="0" borderId="0" xfId="217" applyNumberFormat="1" applyFont="1" applyAlignment="1">
      <alignment wrapText="1"/>
    </xf>
    <xf numFmtId="170" fontId="10" fillId="0" borderId="0" xfId="217" applyNumberFormat="1" applyFont="1" applyAlignment="1">
      <alignment horizontal="left"/>
    </xf>
    <xf numFmtId="3" fontId="10" fillId="0" borderId="0" xfId="217" applyNumberFormat="1" applyFont="1" applyAlignment="1">
      <alignment wrapText="1"/>
    </xf>
    <xf numFmtId="2" fontId="10" fillId="0" borderId="0" xfId="217" applyNumberFormat="1" applyFont="1" applyAlignment="1">
      <alignment wrapText="1"/>
    </xf>
    <xf numFmtId="170" fontId="10" fillId="0" borderId="0" xfId="217" applyFont="1" applyAlignment="1">
      <alignment wrapText="1"/>
    </xf>
    <xf numFmtId="3" fontId="16" fillId="0" borderId="0" xfId="217" applyNumberFormat="1" applyFont="1" applyAlignment="1">
      <alignment wrapText="1"/>
    </xf>
    <xf numFmtId="2" fontId="17" fillId="0" borderId="0" xfId="217" quotePrefix="1" applyNumberFormat="1" applyFont="1" applyAlignment="1">
      <alignment horizontal="left" wrapText="1"/>
    </xf>
    <xf numFmtId="3" fontId="17" fillId="0" borderId="0" xfId="217" applyNumberFormat="1" applyFont="1" applyFill="1" applyBorder="1" applyAlignment="1">
      <alignment horizontal="center"/>
    </xf>
    <xf numFmtId="2" fontId="17" fillId="0" borderId="0" xfId="217" quotePrefix="1" applyNumberFormat="1" applyFont="1" applyFill="1" applyBorder="1" applyAlignment="1">
      <alignment horizontal="center"/>
    </xf>
    <xf numFmtId="2" fontId="17" fillId="0" borderId="0" xfId="217" applyNumberFormat="1" applyFont="1"/>
    <xf numFmtId="170" fontId="17" fillId="0" borderId="0" xfId="217" applyNumberFormat="1" applyFont="1"/>
    <xf numFmtId="170" fontId="17" fillId="0" borderId="0" xfId="217" applyNumberFormat="1" applyFont="1" applyAlignment="1">
      <alignment wrapText="1"/>
    </xf>
    <xf numFmtId="4" fontId="10" fillId="0" borderId="0" xfId="217" applyNumberFormat="1" applyFont="1" applyAlignment="1">
      <alignment wrapText="1"/>
    </xf>
    <xf numFmtId="1" fontId="10" fillId="0" borderId="0" xfId="217" applyNumberFormat="1" applyFont="1" applyAlignment="1">
      <alignment wrapText="1"/>
    </xf>
    <xf numFmtId="170" fontId="19" fillId="7" borderId="8" xfId="217" applyNumberFormat="1" applyFont="1" applyFill="1" applyBorder="1" applyAlignment="1"/>
    <xf numFmtId="170" fontId="10" fillId="7" borderId="9" xfId="217" applyNumberFormat="1" applyFont="1" applyFill="1" applyBorder="1" applyAlignment="1">
      <alignment wrapText="1"/>
    </xf>
    <xf numFmtId="3" fontId="10" fillId="7" borderId="9" xfId="217" applyNumberFormat="1" applyFont="1" applyFill="1" applyBorder="1" applyAlignment="1">
      <alignment wrapText="1"/>
    </xf>
    <xf numFmtId="2" fontId="10" fillId="7" borderId="9" xfId="217" applyNumberFormat="1" applyFont="1" applyFill="1" applyBorder="1" applyAlignment="1">
      <alignment wrapText="1"/>
    </xf>
    <xf numFmtId="170" fontId="10" fillId="7" borderId="11" xfId="217" applyNumberFormat="1" applyFont="1" applyFill="1" applyBorder="1" applyAlignment="1">
      <alignment horizontal="right" wrapText="1"/>
    </xf>
    <xf numFmtId="170" fontId="9" fillId="8" borderId="8" xfId="217" applyNumberFormat="1" applyFont="1" applyFill="1" applyBorder="1" applyAlignment="1">
      <alignment wrapText="1"/>
    </xf>
    <xf numFmtId="170" fontId="9" fillId="8" borderId="9" xfId="217" applyNumberFormat="1" applyFont="1" applyFill="1" applyBorder="1" applyAlignment="1">
      <alignment wrapText="1"/>
    </xf>
    <xf numFmtId="170" fontId="9" fillId="8" borderId="9" xfId="217" applyNumberFormat="1" applyFont="1" applyFill="1" applyBorder="1" applyAlignment="1">
      <alignment horizontal="center" wrapText="1"/>
    </xf>
    <xf numFmtId="3" fontId="9" fillId="8" borderId="9" xfId="217" applyNumberFormat="1" applyFont="1" applyFill="1" applyBorder="1" applyAlignment="1">
      <alignment horizontal="center" wrapText="1"/>
    </xf>
    <xf numFmtId="2" fontId="9" fillId="8" borderId="9" xfId="217" quotePrefix="1" applyNumberFormat="1" applyFont="1" applyFill="1" applyBorder="1" applyAlignment="1">
      <alignment horizontal="center" wrapText="1"/>
    </xf>
    <xf numFmtId="2" fontId="9" fillId="8" borderId="11" xfId="217" quotePrefix="1" applyNumberFormat="1" applyFont="1" applyFill="1" applyBorder="1" applyAlignment="1">
      <alignment horizontal="center" wrapText="1"/>
    </xf>
    <xf numFmtId="170" fontId="9" fillId="0" borderId="0" xfId="217" applyNumberFormat="1" applyFont="1" applyAlignment="1">
      <alignment wrapText="1"/>
    </xf>
    <xf numFmtId="170" fontId="9" fillId="0" borderId="0" xfId="217" applyFont="1" applyAlignment="1">
      <alignment wrapText="1"/>
    </xf>
    <xf numFmtId="170" fontId="10" fillId="0" borderId="23" xfId="217" applyNumberFormat="1" applyFont="1" applyFill="1" applyBorder="1" applyAlignment="1">
      <alignment wrapText="1"/>
    </xf>
    <xf numFmtId="170" fontId="10" fillId="0" borderId="27" xfId="217" applyNumberFormat="1" applyFont="1" applyFill="1" applyBorder="1" applyAlignment="1">
      <alignment wrapText="1"/>
    </xf>
    <xf numFmtId="44" fontId="10" fillId="0" borderId="0" xfId="219" applyFont="1" applyAlignment="1">
      <alignment wrapText="1"/>
    </xf>
    <xf numFmtId="0" fontId="1" fillId="0" borderId="0" xfId="224"/>
    <xf numFmtId="170" fontId="2" fillId="0" borderId="30" xfId="223" applyNumberFormat="1" applyFont="1" applyFill="1" applyBorder="1" applyAlignment="1" applyProtection="1">
      <alignment horizontal="center" vertical="center" wrapText="1"/>
      <protection locked="0"/>
    </xf>
    <xf numFmtId="170" fontId="2" fillId="0" borderId="30" xfId="223" applyNumberFormat="1" applyFont="1" applyFill="1" applyBorder="1" applyAlignment="1" applyProtection="1">
      <alignment horizontal="center" vertical="center"/>
      <protection locked="0"/>
    </xf>
    <xf numFmtId="170" fontId="2" fillId="0" borderId="31" xfId="223" applyNumberFormat="1" applyFont="1" applyFill="1" applyBorder="1" applyAlignment="1" applyProtection="1">
      <alignment horizontal="center" vertical="center"/>
      <protection locked="0"/>
    </xf>
    <xf numFmtId="1" fontId="2" fillId="0" borderId="30" xfId="223" applyNumberFormat="1" applyFont="1" applyFill="1" applyBorder="1" applyAlignment="1" applyProtection="1">
      <alignment horizontal="center" vertical="center" textRotation="90" wrapText="1"/>
      <protection locked="0"/>
    </xf>
    <xf numFmtId="178" fontId="2" fillId="0" borderId="32" xfId="223" applyNumberFormat="1" applyFont="1" applyFill="1" applyBorder="1" applyAlignment="1" applyProtection="1">
      <alignment horizontal="center" vertical="center"/>
      <protection locked="0"/>
    </xf>
    <xf numFmtId="1" fontId="2" fillId="0" borderId="33" xfId="223" applyNumberFormat="1" applyFont="1" applyFill="1" applyBorder="1" applyAlignment="1" applyProtection="1">
      <alignment horizontal="center" vertical="center" textRotation="90" wrapText="1"/>
      <protection locked="0"/>
    </xf>
    <xf numFmtId="170" fontId="2" fillId="0" borderId="30" xfId="223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30" xfId="223" applyNumberFormat="1" applyFont="1" applyFill="1" applyBorder="1" applyAlignment="1" applyProtection="1">
      <alignment horizontal="center" vertical="center" textRotation="90" wrapText="1"/>
      <protection locked="0"/>
    </xf>
    <xf numFmtId="168" fontId="2" fillId="0" borderId="30" xfId="223" applyNumberFormat="1" applyFont="1" applyFill="1" applyBorder="1" applyAlignment="1" applyProtection="1">
      <alignment horizontal="center" vertical="center" textRotation="90" wrapText="1"/>
      <protection locked="0"/>
    </xf>
    <xf numFmtId="170" fontId="2" fillId="0" borderId="32" xfId="223" applyNumberFormat="1" applyFont="1" applyFill="1" applyBorder="1" applyAlignment="1" applyProtection="1">
      <alignment horizontal="center" vertical="center" wrapText="1"/>
      <protection locked="0"/>
    </xf>
    <xf numFmtId="179" fontId="3" fillId="0" borderId="25" xfId="224" applyNumberFormat="1" applyFont="1" applyFill="1" applyBorder="1" applyAlignment="1" applyProtection="1">
      <alignment horizontal="right" vertical="center" wrapText="1"/>
      <protection locked="0"/>
    </xf>
    <xf numFmtId="49" fontId="3" fillId="0" borderId="3" xfId="224" applyNumberFormat="1" applyFont="1" applyFill="1" applyBorder="1" applyAlignment="1" applyProtection="1">
      <alignment horizontal="left" vertical="center" wrapText="1"/>
      <protection locked="0"/>
    </xf>
    <xf numFmtId="170" fontId="3" fillId="0" borderId="4" xfId="224" applyNumberFormat="1" applyFont="1" applyFill="1" applyBorder="1" applyAlignment="1" applyProtection="1">
      <alignment horizontal="left" vertical="center" wrapText="1"/>
      <protection locked="0"/>
    </xf>
    <xf numFmtId="170" fontId="3" fillId="0" borderId="2" xfId="224" applyNumberFormat="1" applyFont="1" applyFill="1" applyBorder="1" applyAlignment="1" applyProtection="1">
      <alignment vertical="center" wrapText="1"/>
      <protection locked="0"/>
    </xf>
    <xf numFmtId="170" fontId="3" fillId="0" borderId="2" xfId="224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224" applyNumberFormat="1" applyFont="1" applyFill="1" applyBorder="1" applyAlignment="1" applyProtection="1">
      <alignment horizontal="center" vertical="center" wrapText="1"/>
      <protection locked="0"/>
    </xf>
    <xf numFmtId="169" fontId="3" fillId="0" borderId="2" xfId="224" applyNumberFormat="1" applyFont="1" applyFill="1" applyBorder="1" applyAlignment="1" applyProtection="1">
      <alignment horizontal="center" vertical="center" wrapText="1"/>
      <protection locked="0"/>
    </xf>
    <xf numFmtId="180" fontId="3" fillId="0" borderId="2" xfId="224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224" applyNumberFormat="1" applyFont="1" applyFill="1" applyBorder="1" applyAlignment="1" applyProtection="1">
      <alignment horizontal="center" vertical="center" wrapText="1"/>
      <protection locked="0"/>
    </xf>
    <xf numFmtId="178" fontId="3" fillId="0" borderId="34" xfId="224" applyNumberFormat="1" applyFont="1" applyFill="1" applyBorder="1" applyAlignment="1" applyProtection="1">
      <alignment horizontal="center" vertical="center" wrapText="1"/>
      <protection locked="0"/>
    </xf>
    <xf numFmtId="1" fontId="3" fillId="0" borderId="35" xfId="223" applyNumberFormat="1" applyFont="1" applyFill="1" applyBorder="1" applyAlignment="1" applyProtection="1">
      <alignment horizontal="center" vertical="center" wrapText="1"/>
      <protection locked="0"/>
    </xf>
    <xf numFmtId="175" fontId="3" fillId="0" borderId="2" xfId="223" applyNumberFormat="1" applyFill="1" applyBorder="1" applyAlignment="1" applyProtection="1">
      <alignment vertical="center" wrapText="1"/>
      <protection locked="0"/>
    </xf>
    <xf numFmtId="49" fontId="3" fillId="0" borderId="2" xfId="223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223" applyNumberFormat="1" applyFont="1" applyFill="1" applyBorder="1" applyAlignment="1" applyProtection="1">
      <alignment horizontal="right" vertical="center" wrapText="1"/>
      <protection locked="0"/>
    </xf>
    <xf numFmtId="170" fontId="3" fillId="0" borderId="2" xfId="223" applyNumberFormat="1" applyFill="1" applyBorder="1" applyAlignment="1" applyProtection="1">
      <alignment vertical="center"/>
      <protection locked="0"/>
    </xf>
    <xf numFmtId="2" fontId="3" fillId="0" borderId="2" xfId="223" applyNumberFormat="1" applyFont="1" applyFill="1" applyBorder="1" applyAlignment="1" applyProtection="1">
      <alignment horizontal="center" vertical="center" wrapText="1"/>
      <protection locked="0"/>
    </xf>
    <xf numFmtId="168" fontId="3" fillId="0" borderId="2" xfId="223" applyNumberFormat="1" applyFont="1" applyFill="1" applyBorder="1" applyAlignment="1" applyProtection="1">
      <alignment horizontal="center" vertical="center" wrapText="1"/>
      <protection locked="0"/>
    </xf>
    <xf numFmtId="175" fontId="3" fillId="0" borderId="34" xfId="223" applyNumberFormat="1" applyFill="1" applyBorder="1" applyAlignment="1" applyProtection="1">
      <alignment vertical="center" wrapText="1"/>
      <protection locked="0"/>
    </xf>
    <xf numFmtId="170" fontId="3" fillId="0" borderId="36" xfId="224" applyNumberFormat="1" applyFont="1" applyFill="1" applyBorder="1" applyAlignment="1" applyProtection="1">
      <alignment horizontal="left" vertical="center" wrapText="1"/>
      <protection locked="0"/>
    </xf>
    <xf numFmtId="170" fontId="3" fillId="0" borderId="36" xfId="224" applyNumberFormat="1" applyFont="1" applyFill="1" applyBorder="1" applyAlignment="1" applyProtection="1">
      <alignment vertical="center" wrapText="1"/>
      <protection locked="0"/>
    </xf>
    <xf numFmtId="170" fontId="3" fillId="0" borderId="36" xfId="224" applyNumberFormat="1" applyFont="1" applyFill="1" applyBorder="1" applyAlignment="1" applyProtection="1">
      <alignment horizontal="center" vertical="center" wrapText="1"/>
      <protection locked="0"/>
    </xf>
    <xf numFmtId="3" fontId="3" fillId="0" borderId="37" xfId="224" applyNumberFormat="1" applyFont="1" applyFill="1" applyBorder="1" applyAlignment="1" applyProtection="1">
      <alignment horizontal="center" vertical="center" wrapText="1"/>
      <protection locked="0"/>
    </xf>
    <xf numFmtId="169" fontId="3" fillId="0" borderId="4" xfId="224" applyNumberFormat="1" applyFont="1" applyFill="1" applyBorder="1" applyAlignment="1" applyProtection="1">
      <alignment horizontal="center" vertical="center" wrapText="1"/>
      <protection locked="0"/>
    </xf>
    <xf numFmtId="180" fontId="3" fillId="0" borderId="36" xfId="224" applyNumberFormat="1" applyFont="1" applyFill="1" applyBorder="1" applyAlignment="1" applyProtection="1">
      <alignment horizontal="center" vertical="center" wrapText="1"/>
      <protection locked="0"/>
    </xf>
    <xf numFmtId="1" fontId="3" fillId="0" borderId="36" xfId="224" applyNumberFormat="1" applyFont="1" applyFill="1" applyBorder="1" applyAlignment="1" applyProtection="1">
      <alignment horizontal="center" vertical="center" wrapText="1"/>
      <protection locked="0"/>
    </xf>
    <xf numFmtId="175" fontId="3" fillId="0" borderId="38" xfId="224" applyNumberFormat="1" applyFont="1" applyFill="1" applyBorder="1" applyAlignment="1" applyProtection="1">
      <alignment horizontal="center" vertical="center" wrapText="1"/>
      <protection locked="0"/>
    </xf>
    <xf numFmtId="1" fontId="3" fillId="0" borderId="36" xfId="223" applyNumberFormat="1" applyFont="1" applyFill="1" applyBorder="1" applyAlignment="1" applyProtection="1">
      <alignment horizontal="right" vertical="center" wrapText="1"/>
      <protection locked="0"/>
    </xf>
    <xf numFmtId="170" fontId="3" fillId="0" borderId="36" xfId="223" applyNumberFormat="1" applyFill="1" applyBorder="1" applyAlignment="1" applyProtection="1">
      <alignment vertical="center"/>
      <protection locked="0"/>
    </xf>
    <xf numFmtId="179" fontId="3" fillId="0" borderId="18" xfId="224" applyNumberFormat="1" applyFont="1" applyFill="1" applyBorder="1" applyAlignment="1" applyProtection="1">
      <alignment horizontal="right" vertical="center" wrapText="1"/>
      <protection locked="0"/>
    </xf>
    <xf numFmtId="49" fontId="3" fillId="0" borderId="19" xfId="224" applyNumberFormat="1" applyFont="1" applyFill="1" applyBorder="1" applyAlignment="1" applyProtection="1">
      <alignment horizontal="left" vertical="center" wrapText="1"/>
      <protection locked="0"/>
    </xf>
    <xf numFmtId="170" fontId="3" fillId="0" borderId="39" xfId="224" applyNumberFormat="1" applyFont="1" applyFill="1" applyBorder="1" applyAlignment="1" applyProtection="1">
      <alignment horizontal="left" vertical="center" wrapText="1"/>
      <protection locked="0"/>
    </xf>
    <xf numFmtId="170" fontId="3" fillId="0" borderId="39" xfId="224" applyNumberFormat="1" applyFont="1" applyFill="1" applyBorder="1" applyAlignment="1" applyProtection="1">
      <alignment vertical="center" wrapText="1"/>
      <protection locked="0"/>
    </xf>
    <xf numFmtId="170" fontId="3" fillId="0" borderId="39" xfId="224" applyNumberFormat="1" applyFont="1" applyFill="1" applyBorder="1" applyAlignment="1" applyProtection="1">
      <alignment horizontal="center" vertical="center" wrapText="1"/>
      <protection locked="0"/>
    </xf>
    <xf numFmtId="3" fontId="3" fillId="0" borderId="40" xfId="224" applyNumberFormat="1" applyFont="1" applyFill="1" applyBorder="1" applyAlignment="1" applyProtection="1">
      <alignment horizontal="center" vertical="center" wrapText="1"/>
      <protection locked="0"/>
    </xf>
    <xf numFmtId="169" fontId="3" fillId="0" borderId="41" xfId="224" applyNumberFormat="1" applyFont="1" applyFill="1" applyBorder="1" applyAlignment="1" applyProtection="1">
      <alignment horizontal="center" vertical="center" wrapText="1"/>
      <protection locked="0"/>
    </xf>
    <xf numFmtId="170" fontId="3" fillId="0" borderId="42" xfId="224" applyNumberFormat="1" applyFont="1" applyFill="1" applyBorder="1" applyAlignment="1" applyProtection="1">
      <alignment horizontal="center" vertical="center" wrapText="1"/>
      <protection locked="0"/>
    </xf>
    <xf numFmtId="180" fontId="3" fillId="0" borderId="39" xfId="224" applyNumberFormat="1" applyFont="1" applyFill="1" applyBorder="1" applyAlignment="1" applyProtection="1">
      <alignment horizontal="center" vertical="center" wrapText="1"/>
      <protection locked="0"/>
    </xf>
    <xf numFmtId="1" fontId="3" fillId="0" borderId="39" xfId="224" applyNumberFormat="1" applyFont="1" applyFill="1" applyBorder="1" applyAlignment="1" applyProtection="1">
      <alignment horizontal="center" vertical="center" wrapText="1"/>
      <protection locked="0"/>
    </xf>
    <xf numFmtId="175" fontId="3" fillId="0" borderId="43" xfId="224" applyNumberFormat="1" applyFont="1" applyFill="1" applyBorder="1" applyAlignment="1" applyProtection="1">
      <alignment horizontal="center" vertical="center" wrapText="1"/>
      <protection locked="0"/>
    </xf>
    <xf numFmtId="1" fontId="3" fillId="0" borderId="44" xfId="223" applyNumberFormat="1" applyFont="1" applyFill="1" applyBorder="1" applyAlignment="1" applyProtection="1">
      <alignment horizontal="center" vertical="center" wrapText="1"/>
      <protection locked="0"/>
    </xf>
    <xf numFmtId="175" fontId="3" fillId="0" borderId="42" xfId="223" applyNumberFormat="1" applyFill="1" applyBorder="1" applyAlignment="1" applyProtection="1">
      <alignment vertical="center" wrapText="1"/>
      <protection locked="0"/>
    </xf>
    <xf numFmtId="49" fontId="3" fillId="0" borderId="42" xfId="223" applyNumberFormat="1" applyFont="1" applyFill="1" applyBorder="1" applyAlignment="1" applyProtection="1">
      <alignment horizontal="center" vertical="center" wrapText="1"/>
      <protection locked="0"/>
    </xf>
    <xf numFmtId="1" fontId="3" fillId="0" borderId="42" xfId="223" applyNumberFormat="1" applyFont="1" applyFill="1" applyBorder="1" applyAlignment="1" applyProtection="1">
      <alignment horizontal="right" vertical="center" wrapText="1"/>
      <protection locked="0"/>
    </xf>
    <xf numFmtId="170" fontId="3" fillId="0" borderId="42" xfId="223" applyNumberFormat="1" applyFill="1" applyBorder="1" applyAlignment="1" applyProtection="1">
      <alignment vertical="center"/>
      <protection locked="0"/>
    </xf>
    <xf numFmtId="2" fontId="3" fillId="0" borderId="42" xfId="223" applyNumberFormat="1" applyFont="1" applyFill="1" applyBorder="1" applyAlignment="1" applyProtection="1">
      <alignment horizontal="center" vertical="center" wrapText="1"/>
      <protection locked="0"/>
    </xf>
    <xf numFmtId="168" fontId="3" fillId="0" borderId="42" xfId="223" applyNumberFormat="1" applyFont="1" applyFill="1" applyBorder="1" applyAlignment="1" applyProtection="1">
      <alignment horizontal="center" vertical="center" wrapText="1"/>
      <protection locked="0"/>
    </xf>
    <xf numFmtId="175" fontId="3" fillId="0" borderId="45" xfId="223" applyNumberFormat="1" applyFill="1" applyBorder="1" applyAlignment="1" applyProtection="1">
      <alignment vertical="center" wrapText="1"/>
      <protection locked="0"/>
    </xf>
    <xf numFmtId="0" fontId="4" fillId="0" borderId="0" xfId="1"/>
    <xf numFmtId="0" fontId="4" fillId="0" borderId="2" xfId="1" applyBorder="1"/>
    <xf numFmtId="4" fontId="4" fillId="0" borderId="2" xfId="1" applyNumberFormat="1" applyBorder="1"/>
    <xf numFmtId="0" fontId="4" fillId="2" borderId="2" xfId="1" applyFill="1" applyBorder="1"/>
    <xf numFmtId="4" fontId="4" fillId="2" borderId="2" xfId="1" applyNumberFormat="1" applyFill="1" applyBorder="1"/>
    <xf numFmtId="0" fontId="8" fillId="0" borderId="2" xfId="224" applyFont="1" applyBorder="1" applyAlignment="1">
      <alignment horizontal="center"/>
    </xf>
    <xf numFmtId="0" fontId="1" fillId="0" borderId="2" xfId="224" applyBorder="1"/>
    <xf numFmtId="3" fontId="1" fillId="0" borderId="2" xfId="224" applyNumberFormat="1" applyBorder="1" applyAlignment="1">
      <alignment horizontal="center"/>
    </xf>
    <xf numFmtId="2" fontId="1" fillId="0" borderId="2" xfId="224" applyNumberFormat="1" applyBorder="1" applyAlignment="1">
      <alignment horizontal="center"/>
    </xf>
    <xf numFmtId="0" fontId="1" fillId="0" borderId="2" xfId="224" applyBorder="1" applyAlignment="1">
      <alignment horizontal="center"/>
    </xf>
    <xf numFmtId="1" fontId="1" fillId="0" borderId="2" xfId="224" applyNumberFormat="1" applyBorder="1" applyAlignment="1">
      <alignment horizontal="center"/>
    </xf>
    <xf numFmtId="164" fontId="1" fillId="0" borderId="2" xfId="224" applyNumberFormat="1" applyBorder="1" applyAlignment="1">
      <alignment horizontal="center"/>
    </xf>
    <xf numFmtId="181" fontId="1" fillId="0" borderId="2" xfId="224" applyNumberFormat="1" applyBorder="1" applyAlignment="1">
      <alignment horizontal="center"/>
    </xf>
    <xf numFmtId="0" fontId="10" fillId="0" borderId="2" xfId="224" applyNumberFormat="1" applyFont="1" applyFill="1" applyBorder="1" applyAlignment="1">
      <alignment horizontal="center"/>
    </xf>
    <xf numFmtId="0" fontId="10" fillId="0" borderId="2" xfId="224" applyNumberFormat="1" applyFont="1" applyBorder="1" applyAlignment="1">
      <alignment horizontal="center"/>
    </xf>
    <xf numFmtId="164" fontId="8" fillId="0" borderId="2" xfId="224" applyNumberFormat="1" applyFont="1" applyBorder="1" applyAlignment="1">
      <alignment horizontal="center"/>
    </xf>
    <xf numFmtId="3" fontId="23" fillId="0" borderId="2" xfId="223" applyNumberFormat="1" applyFont="1" applyFill="1" applyBorder="1" applyAlignment="1" applyProtection="1">
      <alignment horizontal="center" vertical="center" wrapText="1"/>
      <protection locked="0"/>
    </xf>
    <xf numFmtId="170" fontId="3" fillId="0" borderId="0" xfId="224" applyNumberFormat="1" applyFont="1" applyFill="1" applyBorder="1" applyAlignment="1" applyProtection="1">
      <alignment horizontal="left" vertical="center" wrapText="1"/>
      <protection locked="0"/>
    </xf>
    <xf numFmtId="175" fontId="23" fillId="0" borderId="2" xfId="223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224" applyNumberFormat="1" applyBorder="1" applyAlignment="1">
      <alignment horizontal="center"/>
    </xf>
    <xf numFmtId="182" fontId="1" fillId="0" borderId="2" xfId="224" applyNumberFormat="1" applyBorder="1" applyAlignment="1">
      <alignment horizontal="center"/>
    </xf>
    <xf numFmtId="0" fontId="1" fillId="0" borderId="2" xfId="224" applyFont="1" applyBorder="1" applyAlignment="1">
      <alignment horizontal="left"/>
    </xf>
    <xf numFmtId="3" fontId="1" fillId="0" borderId="2" xfId="224" applyNumberFormat="1" applyFont="1" applyBorder="1" applyAlignment="1">
      <alignment horizontal="center"/>
    </xf>
    <xf numFmtId="0" fontId="1" fillId="0" borderId="2" xfId="224" applyFont="1" applyBorder="1" applyAlignment="1">
      <alignment horizontal="center"/>
    </xf>
    <xf numFmtId="1" fontId="1" fillId="0" borderId="2" xfId="224" applyNumberFormat="1" applyFont="1" applyBorder="1" applyAlignment="1">
      <alignment horizontal="center"/>
    </xf>
    <xf numFmtId="2" fontId="1" fillId="0" borderId="2" xfId="224" applyNumberFormat="1" applyFont="1" applyBorder="1" applyAlignment="1">
      <alignment horizontal="center"/>
    </xf>
    <xf numFmtId="168" fontId="1" fillId="0" borderId="2" xfId="224" applyNumberFormat="1" applyFont="1" applyBorder="1" applyAlignment="1">
      <alignment horizontal="center"/>
    </xf>
    <xf numFmtId="0" fontId="1" fillId="0" borderId="0" xfId="224" quotePrefix="1"/>
    <xf numFmtId="175" fontId="1" fillId="0" borderId="2" xfId="224" applyNumberFormat="1" applyFont="1" applyBorder="1" applyAlignment="1">
      <alignment horizontal="center"/>
    </xf>
    <xf numFmtId="165" fontId="1" fillId="0" borderId="0" xfId="225" applyFont="1"/>
    <xf numFmtId="0" fontId="23" fillId="0" borderId="2" xfId="224" applyNumberFormat="1" applyFont="1" applyBorder="1" applyAlignment="1">
      <alignment horizontal="center"/>
    </xf>
    <xf numFmtId="0" fontId="21" fillId="0" borderId="2" xfId="224" applyFont="1" applyBorder="1" applyAlignment="1">
      <alignment horizontal="left"/>
    </xf>
    <xf numFmtId="178" fontId="1" fillId="0" borderId="2" xfId="224" applyNumberFormat="1" applyFont="1" applyBorder="1" applyAlignment="1">
      <alignment horizontal="center"/>
    </xf>
    <xf numFmtId="178" fontId="8" fillId="0" borderId="2" xfId="224" applyNumberFormat="1" applyFont="1" applyBorder="1" applyAlignment="1">
      <alignment horizontal="center"/>
    </xf>
    <xf numFmtId="17" fontId="1" fillId="0" borderId="0" xfId="224" applyNumberFormat="1"/>
    <xf numFmtId="0" fontId="7" fillId="0" borderId="0" xfId="224" applyFont="1"/>
    <xf numFmtId="44" fontId="24" fillId="0" borderId="0" xfId="224" applyNumberFormat="1" applyFont="1"/>
    <xf numFmtId="168" fontId="1" fillId="0" borderId="2" xfId="224" applyNumberFormat="1" applyBorder="1" applyAlignment="1">
      <alignment horizontal="center"/>
    </xf>
    <xf numFmtId="183" fontId="1" fillId="0" borderId="2" xfId="224" applyNumberFormat="1" applyBorder="1" applyAlignment="1">
      <alignment horizontal="center"/>
    </xf>
    <xf numFmtId="168" fontId="10" fillId="0" borderId="0" xfId="224" applyNumberFormat="1" applyFont="1" applyAlignment="1">
      <alignment horizontal="center"/>
    </xf>
    <xf numFmtId="3" fontId="1" fillId="0" borderId="2" xfId="224" applyNumberFormat="1" applyBorder="1"/>
    <xf numFmtId="3" fontId="1" fillId="0" borderId="0" xfId="224" applyNumberFormat="1"/>
    <xf numFmtId="2" fontId="1" fillId="0" borderId="0" xfId="224" applyNumberFormat="1"/>
    <xf numFmtId="0" fontId="1" fillId="0" borderId="0" xfId="224" applyBorder="1"/>
    <xf numFmtId="3" fontId="1" fillId="0" borderId="0" xfId="224" applyNumberFormat="1" applyBorder="1"/>
    <xf numFmtId="2" fontId="1" fillId="0" borderId="0" xfId="224" applyNumberFormat="1" applyBorder="1"/>
    <xf numFmtId="4" fontId="4" fillId="0" borderId="0" xfId="1" applyNumberFormat="1"/>
    <xf numFmtId="4" fontId="4" fillId="0" borderId="2" xfId="1" applyNumberFormat="1" applyFill="1" applyBorder="1"/>
    <xf numFmtId="0" fontId="4" fillId="0" borderId="0" xfId="1" applyBorder="1"/>
    <xf numFmtId="0" fontId="21" fillId="0" borderId="0" xfId="1" applyFont="1"/>
    <xf numFmtId="170" fontId="25" fillId="0" borderId="14" xfId="223" applyNumberFormat="1" applyFont="1" applyFill="1" applyBorder="1" applyAlignment="1" applyProtection="1">
      <alignment vertical="center"/>
      <protection locked="0"/>
    </xf>
    <xf numFmtId="49" fontId="26" fillId="0" borderId="15" xfId="223" applyNumberFormat="1" applyFont="1" applyFill="1" applyBorder="1" applyAlignment="1" applyProtection="1">
      <protection locked="0"/>
    </xf>
    <xf numFmtId="170" fontId="26" fillId="0" borderId="15" xfId="223" applyNumberFormat="1" applyFont="1" applyFill="1" applyBorder="1" applyAlignment="1" applyProtection="1">
      <alignment horizontal="left" vertical="center" wrapText="1"/>
      <protection locked="0"/>
    </xf>
    <xf numFmtId="170" fontId="25" fillId="0" borderId="15" xfId="223" applyNumberFormat="1" applyFont="1" applyFill="1" applyBorder="1" applyAlignment="1" applyProtection="1">
      <alignment vertical="center"/>
      <protection locked="0"/>
    </xf>
    <xf numFmtId="170" fontId="25" fillId="0" borderId="17" xfId="223" applyNumberFormat="1" applyFont="1" applyFill="1" applyBorder="1" applyAlignment="1" applyProtection="1">
      <alignment vertical="center"/>
      <protection locked="0"/>
    </xf>
    <xf numFmtId="170" fontId="25" fillId="0" borderId="8" xfId="223" applyNumberFormat="1" applyFont="1" applyFill="1" applyBorder="1" applyAlignment="1" applyProtection="1">
      <alignment vertical="center"/>
      <protection locked="0"/>
    </xf>
    <xf numFmtId="170" fontId="25" fillId="0" borderId="9" xfId="223" applyNumberFormat="1" applyFont="1" applyFill="1" applyBorder="1" applyAlignment="1" applyProtection="1">
      <alignment vertical="center"/>
      <protection locked="0"/>
    </xf>
    <xf numFmtId="170" fontId="25" fillId="0" borderId="11" xfId="223" applyNumberFormat="1" applyFont="1" applyFill="1" applyBorder="1" applyAlignment="1" applyProtection="1">
      <alignment vertical="center"/>
      <protection locked="0"/>
    </xf>
    <xf numFmtId="0" fontId="4" fillId="0" borderId="0" xfId="224" applyFont="1"/>
    <xf numFmtId="170" fontId="27" fillId="0" borderId="0" xfId="217" applyNumberFormat="1" applyFont="1" applyAlignment="1">
      <alignment wrapText="1"/>
    </xf>
    <xf numFmtId="170" fontId="27" fillId="0" borderId="0" xfId="217" applyFont="1" applyAlignment="1">
      <alignment wrapText="1"/>
    </xf>
    <xf numFmtId="0" fontId="29" fillId="0" borderId="2" xfId="224" applyFont="1" applyBorder="1" applyAlignment="1">
      <alignment horizontal="center"/>
    </xf>
    <xf numFmtId="0" fontId="30" fillId="0" borderId="2" xfId="224" applyFont="1" applyBorder="1"/>
    <xf numFmtId="0" fontId="29" fillId="0" borderId="2" xfId="224" applyFont="1" applyBorder="1"/>
    <xf numFmtId="0" fontId="30" fillId="0" borderId="2" xfId="224" applyFont="1" applyBorder="1" applyAlignment="1">
      <alignment horizontal="left"/>
    </xf>
    <xf numFmtId="0" fontId="29" fillId="0" borderId="2" xfId="224" applyFont="1" applyBorder="1" applyAlignment="1">
      <alignment horizontal="left"/>
    </xf>
    <xf numFmtId="0" fontId="30" fillId="0" borderId="0" xfId="224" applyFont="1"/>
    <xf numFmtId="0" fontId="4" fillId="0" borderId="5" xfId="1" applyBorder="1" applyAlignment="1">
      <alignment horizontal="center"/>
    </xf>
    <xf numFmtId="0" fontId="4" fillId="0" borderId="27" xfId="1" applyBorder="1" applyAlignment="1">
      <alignment horizontal="center"/>
    </xf>
    <xf numFmtId="0" fontId="4" fillId="0" borderId="6" xfId="1" applyBorder="1" applyAlignment="1">
      <alignment horizontal="center"/>
    </xf>
    <xf numFmtId="0" fontId="4" fillId="0" borderId="0" xfId="1" applyBorder="1" applyAlignment="1">
      <alignment horizontal="center"/>
    </xf>
    <xf numFmtId="170" fontId="2" fillId="0" borderId="14" xfId="223" applyNumberFormat="1" applyFont="1" applyBorder="1" applyAlignment="1" applyProtection="1">
      <alignment horizontal="center" vertical="center" textRotation="90"/>
      <protection locked="0"/>
    </xf>
    <xf numFmtId="170" fontId="2" fillId="0" borderId="16" xfId="223" applyNumberFormat="1" applyFont="1" applyBorder="1" applyAlignment="1" applyProtection="1">
      <alignment horizontal="center" vertical="center" textRotation="90"/>
      <protection locked="0"/>
    </xf>
    <xf numFmtId="170" fontId="9" fillId="6" borderId="14" xfId="217" applyNumberFormat="1" applyFont="1" applyFill="1" applyBorder="1" applyAlignment="1">
      <alignment horizontal="center" wrapText="1"/>
    </xf>
    <xf numFmtId="170" fontId="9" fillId="6" borderId="15" xfId="217" applyFont="1" applyFill="1" applyBorder="1" applyAlignment="1">
      <alignment horizontal="center" wrapText="1"/>
    </xf>
    <xf numFmtId="170" fontId="9" fillId="6" borderId="9" xfId="217" applyFont="1" applyFill="1" applyBorder="1" applyAlignment="1">
      <alignment horizontal="center" wrapText="1"/>
    </xf>
    <xf numFmtId="170" fontId="9" fillId="6" borderId="17" xfId="217" applyFont="1" applyFill="1" applyBorder="1" applyAlignment="1">
      <alignment horizontal="center" wrapText="1"/>
    </xf>
    <xf numFmtId="170" fontId="28" fillId="0" borderId="0" xfId="217" applyNumberFormat="1" applyFont="1" applyAlignment="1">
      <alignment horizontal="left" wrapText="1"/>
    </xf>
    <xf numFmtId="0" fontId="21" fillId="0" borderId="2" xfId="224" applyFont="1" applyBorder="1" applyAlignment="1">
      <alignment horizontal="left"/>
    </xf>
    <xf numFmtId="0" fontId="1" fillId="0" borderId="2" xfId="224" applyBorder="1" applyAlignment="1">
      <alignment horizontal="left"/>
    </xf>
    <xf numFmtId="0" fontId="31" fillId="0" borderId="3" xfId="224" applyFont="1" applyBorder="1" applyAlignment="1">
      <alignment horizontal="left"/>
    </xf>
    <xf numFmtId="0" fontId="21" fillId="0" borderId="19" xfId="224" applyFont="1" applyBorder="1" applyAlignment="1">
      <alignment horizontal="left"/>
    </xf>
    <xf numFmtId="170" fontId="10" fillId="0" borderId="22" xfId="217" applyNumberFormat="1" applyFont="1" applyFill="1" applyBorder="1" applyAlignment="1">
      <alignment wrapText="1"/>
    </xf>
    <xf numFmtId="170" fontId="10" fillId="0" borderId="23" xfId="217" applyNumberFormat="1" applyFont="1" applyFill="1" applyBorder="1" applyAlignment="1">
      <alignment horizontal="left" wrapText="1"/>
    </xf>
    <xf numFmtId="3" fontId="10" fillId="0" borderId="23" xfId="217" applyNumberFormat="1" applyFont="1" applyFill="1" applyBorder="1" applyAlignment="1">
      <alignment wrapText="1"/>
    </xf>
    <xf numFmtId="1" fontId="10" fillId="0" borderId="23" xfId="217" applyNumberFormat="1" applyFont="1" applyFill="1" applyBorder="1" applyAlignment="1">
      <alignment wrapText="1"/>
    </xf>
    <xf numFmtId="2" fontId="10" fillId="0" borderId="27" xfId="217" applyNumberFormat="1" applyFont="1" applyFill="1" applyBorder="1" applyAlignment="1">
      <alignment wrapText="1"/>
    </xf>
    <xf numFmtId="176" fontId="10" fillId="0" borderId="23" xfId="217" applyNumberFormat="1" applyFont="1" applyFill="1" applyBorder="1" applyAlignment="1">
      <alignment wrapText="1"/>
    </xf>
    <xf numFmtId="4" fontId="10" fillId="0" borderId="23" xfId="217" applyNumberFormat="1" applyFont="1" applyFill="1" applyBorder="1" applyAlignment="1">
      <alignment wrapText="1"/>
    </xf>
    <xf numFmtId="2" fontId="10" fillId="0" borderId="23" xfId="217" applyNumberFormat="1" applyFont="1" applyFill="1" applyBorder="1" applyAlignment="1">
      <alignment wrapText="1"/>
    </xf>
    <xf numFmtId="2" fontId="10" fillId="0" borderId="24" xfId="217" applyNumberFormat="1" applyFont="1" applyFill="1" applyBorder="1" applyAlignment="1">
      <alignment wrapText="1"/>
    </xf>
    <xf numFmtId="170" fontId="10" fillId="0" borderId="28" xfId="217" applyNumberFormat="1" applyFont="1" applyFill="1" applyBorder="1" applyAlignment="1">
      <alignment wrapText="1"/>
    </xf>
    <xf numFmtId="170" fontId="10" fillId="0" borderId="27" xfId="217" applyNumberFormat="1" applyFont="1" applyFill="1" applyBorder="1" applyAlignment="1">
      <alignment horizontal="left" wrapText="1"/>
    </xf>
    <xf numFmtId="3" fontId="10" fillId="0" borderId="27" xfId="217" applyNumberFormat="1" applyFont="1" applyFill="1" applyBorder="1" applyAlignment="1">
      <alignment wrapText="1"/>
    </xf>
    <xf numFmtId="1" fontId="10" fillId="0" borderId="27" xfId="217" applyNumberFormat="1" applyFont="1" applyFill="1" applyBorder="1" applyAlignment="1">
      <alignment wrapText="1"/>
    </xf>
    <xf numFmtId="176" fontId="10" fillId="0" borderId="27" xfId="217" applyNumberFormat="1" applyFont="1" applyFill="1" applyBorder="1" applyAlignment="1">
      <alignment wrapText="1"/>
    </xf>
    <xf numFmtId="4" fontId="10" fillId="0" borderId="27" xfId="217" applyNumberFormat="1" applyFont="1" applyFill="1" applyBorder="1" applyAlignment="1">
      <alignment wrapText="1"/>
    </xf>
    <xf numFmtId="2" fontId="10" fillId="0" borderId="29" xfId="217" applyNumberFormat="1" applyFont="1" applyFill="1" applyBorder="1" applyAlignment="1">
      <alignment wrapText="1"/>
    </xf>
    <xf numFmtId="170" fontId="10" fillId="0" borderId="28" xfId="217" applyNumberFormat="1" applyFont="1" applyFill="1" applyBorder="1" applyAlignment="1">
      <alignment horizontal="left" wrapText="1"/>
    </xf>
    <xf numFmtId="170" fontId="10" fillId="0" borderId="27" xfId="217" applyNumberFormat="1" applyFont="1" applyFill="1" applyBorder="1" applyAlignment="1">
      <alignment horizontal="left" wrapText="1"/>
    </xf>
    <xf numFmtId="170" fontId="10" fillId="0" borderId="29" xfId="217" applyNumberFormat="1" applyFont="1" applyFill="1" applyBorder="1" applyAlignment="1">
      <alignment horizontal="left" wrapText="1"/>
    </xf>
    <xf numFmtId="177" fontId="10" fillId="0" borderId="23" xfId="221" applyFont="1" applyFill="1" applyBorder="1"/>
    <xf numFmtId="176" fontId="10" fillId="0" borderId="23" xfId="217" applyNumberFormat="1" applyFont="1" applyFill="1" applyBorder="1" applyAlignment="1">
      <alignment horizontal="right" wrapText="1"/>
    </xf>
    <xf numFmtId="166" fontId="10" fillId="0" borderId="23" xfId="217" applyNumberFormat="1" applyFont="1" applyFill="1" applyBorder="1" applyAlignment="1">
      <alignment horizontal="right" wrapText="1"/>
    </xf>
    <xf numFmtId="170" fontId="10" fillId="0" borderId="25" xfId="217" applyNumberFormat="1" applyFont="1" applyFill="1" applyBorder="1" applyAlignment="1">
      <alignment wrapText="1"/>
    </xf>
    <xf numFmtId="170" fontId="10" fillId="0" borderId="3" xfId="217" applyNumberFormat="1" applyFont="1" applyFill="1" applyBorder="1" applyAlignment="1">
      <alignment wrapText="1"/>
    </xf>
    <xf numFmtId="177" fontId="10" fillId="0" borderId="3" xfId="221" applyFont="1" applyFill="1" applyBorder="1"/>
    <xf numFmtId="3" fontId="10" fillId="0" borderId="3" xfId="217" applyNumberFormat="1" applyFont="1" applyFill="1" applyBorder="1" applyAlignment="1">
      <alignment wrapText="1"/>
    </xf>
    <xf numFmtId="176" fontId="10" fillId="0" borderId="3" xfId="217" applyNumberFormat="1" applyFont="1" applyFill="1" applyBorder="1" applyAlignment="1">
      <alignment horizontal="right" wrapText="1"/>
    </xf>
    <xf numFmtId="1" fontId="10" fillId="0" borderId="3" xfId="217" applyNumberFormat="1" applyFont="1" applyFill="1" applyBorder="1" applyAlignment="1">
      <alignment wrapText="1"/>
    </xf>
    <xf numFmtId="166" fontId="10" fillId="0" borderId="3" xfId="217" applyNumberFormat="1" applyFont="1" applyFill="1" applyBorder="1" applyAlignment="1">
      <alignment horizontal="right" wrapText="1"/>
    </xf>
    <xf numFmtId="176" fontId="10" fillId="0" borderId="3" xfId="217" applyNumberFormat="1" applyFont="1" applyFill="1" applyBorder="1" applyAlignment="1">
      <alignment wrapText="1"/>
    </xf>
    <xf numFmtId="4" fontId="10" fillId="0" borderId="3" xfId="217" applyNumberFormat="1" applyFont="1" applyFill="1" applyBorder="1" applyAlignment="1">
      <alignment wrapText="1"/>
    </xf>
    <xf numFmtId="2" fontId="10" fillId="0" borderId="3" xfId="217" applyNumberFormat="1" applyFont="1" applyFill="1" applyBorder="1" applyAlignment="1">
      <alignment wrapText="1"/>
    </xf>
    <xf numFmtId="2" fontId="10" fillId="0" borderId="26" xfId="217" applyNumberFormat="1" applyFont="1" applyFill="1" applyBorder="1" applyAlignment="1">
      <alignment wrapText="1"/>
    </xf>
    <xf numFmtId="2" fontId="32" fillId="0" borderId="0" xfId="217" applyNumberFormat="1" applyFont="1"/>
    <xf numFmtId="0" fontId="33" fillId="0" borderId="1" xfId="0" applyFont="1"/>
  </cellXfs>
  <cellStyles count="294">
    <cellStyle name="Comma 2" xfId="222"/>
    <cellStyle name="Comma 2 2" xfId="226"/>
    <cellStyle name="Comma 3" xfId="227"/>
    <cellStyle name="Currency 2" xfId="219"/>
    <cellStyle name="Currency 3" xfId="225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Normal" xfId="0" builtinId="0"/>
    <cellStyle name="Normal 10" xfId="228"/>
    <cellStyle name="Normal 10 2" xfId="229"/>
    <cellStyle name="Normal 11" xfId="230"/>
    <cellStyle name="Normal 12" xfId="231"/>
    <cellStyle name="Normal 12 2" xfId="232"/>
    <cellStyle name="Normal 13" xfId="233"/>
    <cellStyle name="Normal 13 2" xfId="234"/>
    <cellStyle name="Normal 14" xfId="235"/>
    <cellStyle name="Normal 14 2" xfId="236"/>
    <cellStyle name="Normal 15" xfId="237"/>
    <cellStyle name="Normal 15 2" xfId="238"/>
    <cellStyle name="Normal 16" xfId="239"/>
    <cellStyle name="Normal 16 2" xfId="240"/>
    <cellStyle name="Normal 17" xfId="241"/>
    <cellStyle name="Normal 17 2" xfId="242"/>
    <cellStyle name="Normal 18" xfId="243"/>
    <cellStyle name="Normal 18 2" xfId="244"/>
    <cellStyle name="Normal 19" xfId="245"/>
    <cellStyle name="Normal 19 2" xfId="246"/>
    <cellStyle name="Normal 2" xfId="1"/>
    <cellStyle name="Normal 2 2" xfId="247"/>
    <cellStyle name="Normal 20" xfId="248"/>
    <cellStyle name="Normal 20 2" xfId="249"/>
    <cellStyle name="Normal 20 2 2" xfId="250"/>
    <cellStyle name="Normal 20 3" xfId="251"/>
    <cellStyle name="Normal 21" xfId="252"/>
    <cellStyle name="Normal 3" xfId="223"/>
    <cellStyle name="Normal 4" xfId="221"/>
    <cellStyle name="Normal 4 2" xfId="253"/>
    <cellStyle name="Normal 5" xfId="224"/>
    <cellStyle name="Normal 6" xfId="254"/>
    <cellStyle name="Normal 6 2" xfId="255"/>
    <cellStyle name="Normal 7" xfId="256"/>
    <cellStyle name="Normal 7 2" xfId="257"/>
    <cellStyle name="Normal 8" xfId="258"/>
    <cellStyle name="Normal 8 2" xfId="259"/>
    <cellStyle name="Normal 8 2 2" xfId="260"/>
    <cellStyle name="Normal 8 3" xfId="261"/>
    <cellStyle name="Normal 9" xfId="262"/>
    <cellStyle name="Normal 9 2" xfId="263"/>
    <cellStyle name="Normal_Sheet1 (3)" xfId="217"/>
    <cellStyle name="Normal_Sheet2" xfId="218"/>
    <cellStyle name="Percent 2" xfId="2"/>
    <cellStyle name="Percent 2 2" xfId="22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3.xml"/><Relationship Id="rId1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711202</xdr:colOff>
      <xdr:row>97</xdr:row>
      <xdr:rowOff>96157</xdr:rowOff>
    </xdr:from>
    <xdr:to>
      <xdr:col>8</xdr:col>
      <xdr:colOff>283030</xdr:colOff>
      <xdr:row>108</xdr:row>
      <xdr:rowOff>70757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3059" y="14374586"/>
          <a:ext cx="6375400" cy="1970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carborough/Desktop/Paper1_16S/TEA_Working/Hexan-Oct_TEA_Spreadsheet_KOH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carborough/Desktop/Paper1_16S/TEA_Working/Hexan-Oct_TEA_Spreadsheet_FIN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carborough/Desktop/Paper1_16S/TEA_Working/Hexan-Oct_TEA_Spread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t-up"/>
      <sheetName val="Summary"/>
      <sheetName val="CB_DATA_"/>
      <sheetName val="OPEX"/>
      <sheetName val="CAPEX"/>
      <sheetName val="DCFROR"/>
      <sheetName val="Operating Summaries"/>
      <sheetName val="aspen"/>
      <sheetName val="Cost Breakdown"/>
      <sheetName val="Energy Bal"/>
      <sheetName val="aspen2"/>
      <sheetName val="aspenqw"/>
      <sheetName val="SUGAR"/>
      <sheetName val="INDICES"/>
      <sheetName val="PFD tables"/>
      <sheetName val="Sheet1"/>
    </sheetNames>
    <sheetDataSet>
      <sheetData sheetId="0">
        <row r="15">
          <cell r="C15" t="str">
            <v>DW1102A-RC16</v>
          </cell>
        </row>
        <row r="24">
          <cell r="B24" t="str">
            <v>DW1102A</v>
          </cell>
        </row>
        <row r="29">
          <cell r="G29" t="str">
            <v>aspen!C7:E617</v>
          </cell>
        </row>
        <row r="30">
          <cell r="G30" t="str">
            <v>aspen2!B9:HT420</v>
          </cell>
        </row>
        <row r="31">
          <cell r="G31" t="str">
            <v>aspenqw!B7:D154</v>
          </cell>
        </row>
        <row r="32">
          <cell r="G32" t="str">
            <v>aspenqw!F7:H274</v>
          </cell>
        </row>
        <row r="34">
          <cell r="G34" t="str">
            <v>INDICES!b14:e39</v>
          </cell>
        </row>
        <row r="35">
          <cell r="G35" t="str">
            <v>INDICES!b56:e87</v>
          </cell>
        </row>
        <row r="36">
          <cell r="G36" t="str">
            <v>INDICES!b108:e139</v>
          </cell>
        </row>
        <row r="37">
          <cell r="G37" t="str">
            <v>INDICES!q5:r13</v>
          </cell>
        </row>
      </sheetData>
      <sheetData sheetId="1"/>
      <sheetData sheetId="2" refreshError="1"/>
      <sheetData sheetId="3">
        <row r="2">
          <cell r="B2">
            <v>21672.409500000002</v>
          </cell>
        </row>
        <row r="3">
          <cell r="B3">
            <v>61.025930892978643</v>
          </cell>
        </row>
        <row r="7">
          <cell r="B7">
            <v>8410</v>
          </cell>
        </row>
      </sheetData>
      <sheetData sheetId="4"/>
      <sheetData sheetId="5"/>
      <sheetData sheetId="6">
        <row r="3">
          <cell r="D3">
            <v>0.19999999903999999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t-up"/>
      <sheetName val="Summary"/>
      <sheetName val="CB_DATA_"/>
      <sheetName val="OPEX"/>
      <sheetName val="CAPEX"/>
      <sheetName val="DCFROR"/>
      <sheetName val="Operating Summaries"/>
      <sheetName val="aspen"/>
      <sheetName val="Cost Breakdown"/>
      <sheetName val="Energy Bal"/>
      <sheetName val="aspen2"/>
      <sheetName val="aspenqw"/>
      <sheetName val="SUGAR"/>
      <sheetName val="INDICES"/>
      <sheetName val="PFD tables"/>
      <sheetName val="Sheet1"/>
    </sheetNames>
    <sheetDataSet>
      <sheetData sheetId="0">
        <row r="29">
          <cell r="G29" t="str">
            <v>aspen!C7:E617</v>
          </cell>
        </row>
      </sheetData>
      <sheetData sheetId="1"/>
      <sheetData sheetId="2" refreshError="1"/>
      <sheetData sheetId="3">
        <row r="3">
          <cell r="B3">
            <v>61.025930892978643</v>
          </cell>
        </row>
        <row r="7">
          <cell r="B7">
            <v>8410</v>
          </cell>
        </row>
      </sheetData>
      <sheetData sheetId="4" refreshError="1"/>
      <sheetData sheetId="5">
        <row r="4">
          <cell r="K4">
            <v>29917972.619924061</v>
          </cell>
        </row>
        <row r="5">
          <cell r="M5">
            <v>32957195.109581057</v>
          </cell>
        </row>
        <row r="6">
          <cell r="K6">
            <v>31269717.12916977</v>
          </cell>
        </row>
        <row r="7">
          <cell r="K7">
            <v>18736264.417740807</v>
          </cell>
        </row>
        <row r="8">
          <cell r="K8">
            <v>22317746.4752075</v>
          </cell>
        </row>
        <row r="9">
          <cell r="K9">
            <v>60193106.094881482</v>
          </cell>
        </row>
        <row r="10">
          <cell r="K10">
            <v>4952924.785068322</v>
          </cell>
        </row>
        <row r="11">
          <cell r="K11">
            <v>65811126.923758835</v>
          </cell>
        </row>
        <row r="12">
          <cell r="K12">
            <v>6878810.6795808561</v>
          </cell>
        </row>
      </sheetData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t-up"/>
      <sheetName val="Summary"/>
      <sheetName val="CB_DATA_"/>
      <sheetName val="OPEX"/>
      <sheetName val="CAPEX"/>
      <sheetName val="DCFROR"/>
      <sheetName val="Operating Summaries"/>
      <sheetName val="aspen"/>
      <sheetName val="Cost Breakdown"/>
      <sheetName val="Energy Bal"/>
      <sheetName val="aspen2"/>
      <sheetName val="aspenqw"/>
      <sheetName val="SUGAR"/>
      <sheetName val="INDICES"/>
      <sheetName val="PFD tables"/>
    </sheetNames>
    <sheetDataSet>
      <sheetData sheetId="0">
        <row r="29">
          <cell r="G29" t="str">
            <v>aspen!C7:E617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zoomScale="70" zoomScaleNormal="70" zoomScalePageLayoutView="70" workbookViewId="0">
      <selection activeCell="A2" sqref="A2:C2"/>
    </sheetView>
  </sheetViews>
  <sheetFormatPr baseColWidth="10" defaultColWidth="8.83203125" defaultRowHeight="14" x14ac:dyDescent="0"/>
  <cols>
    <col min="1" max="1" width="33" style="186" bestFit="1" customWidth="1"/>
    <col min="2" max="2" width="13.5" style="186" bestFit="1" customWidth="1"/>
    <col min="3" max="3" width="11.6640625" style="186" bestFit="1" customWidth="1"/>
    <col min="4" max="4" width="13.5" style="186" bestFit="1" customWidth="1"/>
    <col min="5" max="5" width="19.6640625" style="186" bestFit="1" customWidth="1"/>
    <col min="6" max="8" width="10.1640625" style="186" bestFit="1" customWidth="1"/>
    <col min="9" max="9" width="23.5" style="186" bestFit="1" customWidth="1"/>
    <col min="10" max="10" width="8.83203125" style="186"/>
    <col min="11" max="11" width="9.6640625" style="186" bestFit="1" customWidth="1"/>
    <col min="12" max="14" width="8.83203125" style="186"/>
    <col min="15" max="15" width="23.33203125" style="186" bestFit="1" customWidth="1"/>
    <col min="16" max="16384" width="8.83203125" style="186"/>
  </cols>
  <sheetData>
    <row r="1" spans="1:8" ht="18">
      <c r="A1" s="235" t="s">
        <v>393</v>
      </c>
    </row>
    <row r="2" spans="1:8">
      <c r="A2" s="253" t="s">
        <v>390</v>
      </c>
      <c r="B2" s="254"/>
      <c r="C2" s="255"/>
      <c r="E2" s="256"/>
      <c r="F2" s="256"/>
      <c r="G2" s="256"/>
      <c r="H2" s="234"/>
    </row>
    <row r="3" spans="1:8">
      <c r="A3" s="253" t="s">
        <v>201</v>
      </c>
      <c r="B3" s="254"/>
      <c r="C3" s="255"/>
      <c r="E3" s="256"/>
      <c r="F3" s="256"/>
      <c r="G3" s="256"/>
      <c r="H3" s="234"/>
    </row>
    <row r="4" spans="1:8">
      <c r="A4" s="187" t="s">
        <v>1</v>
      </c>
      <c r="B4" s="187" t="s">
        <v>9</v>
      </c>
      <c r="C4" s="187" t="s">
        <v>172</v>
      </c>
      <c r="E4" s="234"/>
      <c r="F4" s="234"/>
      <c r="G4" s="234"/>
      <c r="H4" s="234"/>
    </row>
    <row r="5" spans="1:8">
      <c r="A5" s="187" t="s">
        <v>202</v>
      </c>
      <c r="B5" s="187">
        <v>95.634991099999993</v>
      </c>
      <c r="C5" s="187" t="s">
        <v>203</v>
      </c>
      <c r="E5" s="234"/>
      <c r="F5" s="234"/>
      <c r="G5" s="234"/>
      <c r="H5" s="234"/>
    </row>
    <row r="6" spans="1:8">
      <c r="A6" s="187" t="s">
        <v>204</v>
      </c>
      <c r="B6" s="187"/>
      <c r="C6" s="187"/>
      <c r="E6" s="234"/>
      <c r="F6" s="234"/>
      <c r="G6" s="234"/>
      <c r="H6" s="234"/>
    </row>
    <row r="7" spans="1:8">
      <c r="A7" s="187" t="s">
        <v>205</v>
      </c>
      <c r="B7" s="187">
        <v>-2.3719553208000002</v>
      </c>
      <c r="C7" s="187" t="s">
        <v>206</v>
      </c>
      <c r="E7" s="234"/>
      <c r="F7" s="234"/>
      <c r="G7" s="234"/>
      <c r="H7" s="234"/>
    </row>
    <row r="8" spans="1:8">
      <c r="A8" s="187" t="s">
        <v>207</v>
      </c>
      <c r="B8" s="187"/>
      <c r="C8" s="187"/>
      <c r="E8" s="234"/>
      <c r="F8" s="234"/>
      <c r="G8" s="234"/>
      <c r="H8" s="234"/>
    </row>
    <row r="9" spans="1:8">
      <c r="A9" s="187" t="s">
        <v>208</v>
      </c>
      <c r="B9" s="187">
        <v>102.346914</v>
      </c>
      <c r="C9" s="187" t="s">
        <v>209</v>
      </c>
      <c r="E9" s="234"/>
      <c r="F9" s="234"/>
      <c r="G9" s="234"/>
      <c r="H9" s="234"/>
    </row>
    <row r="10" spans="1:8">
      <c r="A10" s="187" t="s">
        <v>210</v>
      </c>
      <c r="B10" s="187">
        <v>55.369680299999999</v>
      </c>
      <c r="C10" s="187" t="s">
        <v>209</v>
      </c>
      <c r="E10" s="234"/>
      <c r="F10" s="234"/>
      <c r="G10" s="234"/>
      <c r="H10" s="234"/>
    </row>
    <row r="11" spans="1:8">
      <c r="A11" s="187" t="s">
        <v>211</v>
      </c>
      <c r="B11" s="187">
        <v>0.54100000000000004</v>
      </c>
      <c r="C11" s="187"/>
      <c r="E11" s="234"/>
      <c r="F11" s="234"/>
      <c r="G11" s="234"/>
      <c r="H11" s="234"/>
    </row>
    <row r="12" spans="1:8">
      <c r="A12" s="187" t="s">
        <v>212</v>
      </c>
      <c r="B12" s="187"/>
      <c r="C12" s="187"/>
      <c r="E12" s="234"/>
      <c r="F12" s="234"/>
      <c r="G12" s="234"/>
      <c r="H12" s="234"/>
    </row>
    <row r="13" spans="1:8">
      <c r="A13" s="187" t="s">
        <v>213</v>
      </c>
      <c r="B13" s="187"/>
      <c r="C13" s="187"/>
      <c r="E13" s="234"/>
      <c r="F13" s="234"/>
      <c r="G13" s="234"/>
      <c r="H13" s="234"/>
    </row>
    <row r="14" spans="1:8">
      <c r="A14" s="187" t="s">
        <v>214</v>
      </c>
      <c r="B14" s="187">
        <v>0.85450000000000004</v>
      </c>
      <c r="C14" s="187"/>
      <c r="E14" s="234"/>
      <c r="F14" s="234"/>
      <c r="G14" s="234"/>
      <c r="H14" s="234"/>
    </row>
    <row r="15" spans="1:8">
      <c r="A15" s="253" t="s">
        <v>215</v>
      </c>
      <c r="B15" s="254"/>
      <c r="C15" s="255"/>
      <c r="E15" s="256"/>
      <c r="F15" s="256"/>
      <c r="G15" s="256"/>
      <c r="H15" s="234"/>
    </row>
    <row r="16" spans="1:8">
      <c r="A16" s="187" t="s">
        <v>1</v>
      </c>
      <c r="B16" s="187" t="s">
        <v>9</v>
      </c>
      <c r="C16" s="187" t="s">
        <v>172</v>
      </c>
      <c r="E16" s="234"/>
      <c r="F16" s="234"/>
      <c r="G16" s="234"/>
      <c r="H16" s="234"/>
    </row>
    <row r="17" spans="1:8">
      <c r="A17" s="187" t="s">
        <v>202</v>
      </c>
      <c r="B17" s="187">
        <v>206.899158</v>
      </c>
      <c r="C17" s="187" t="s">
        <v>203</v>
      </c>
      <c r="E17" s="234"/>
      <c r="F17" s="234"/>
      <c r="G17" s="234"/>
      <c r="H17" s="234"/>
    </row>
    <row r="18" spans="1:8">
      <c r="A18" s="187" t="s">
        <v>205</v>
      </c>
      <c r="B18" s="187">
        <v>3.0419408628000002</v>
      </c>
      <c r="C18" s="187" t="s">
        <v>206</v>
      </c>
      <c r="E18" s="234"/>
      <c r="F18" s="234"/>
      <c r="G18" s="234"/>
      <c r="H18" s="234"/>
    </row>
    <row r="19" spans="1:8">
      <c r="A19" s="187" t="s">
        <v>216</v>
      </c>
      <c r="B19" s="187">
        <v>17.427122199999999</v>
      </c>
      <c r="C19" s="187" t="s">
        <v>209</v>
      </c>
      <c r="E19" s="234"/>
      <c r="F19" s="234"/>
      <c r="G19" s="234"/>
      <c r="H19" s="234"/>
    </row>
    <row r="20" spans="1:8">
      <c r="A20" s="187" t="s">
        <v>217</v>
      </c>
      <c r="B20" s="187">
        <v>274.44888600000002</v>
      </c>
      <c r="C20" s="187" t="s">
        <v>209</v>
      </c>
      <c r="E20" s="234"/>
      <c r="F20" s="234"/>
      <c r="G20" s="234"/>
      <c r="H20" s="234"/>
    </row>
    <row r="21" spans="1:8">
      <c r="A21" s="187" t="s">
        <v>218</v>
      </c>
      <c r="B21" s="187">
        <v>15.7483767</v>
      </c>
      <c r="C21" s="187"/>
      <c r="E21" s="234"/>
      <c r="F21" s="234"/>
      <c r="G21" s="234"/>
      <c r="H21" s="234"/>
    </row>
    <row r="22" spans="1:8">
      <c r="A22" s="187" t="s">
        <v>219</v>
      </c>
      <c r="B22" s="187">
        <v>0.14549999999999999</v>
      </c>
      <c r="C22" s="187"/>
      <c r="E22" s="234"/>
      <c r="F22" s="234"/>
      <c r="G22" s="234"/>
      <c r="H22" s="234"/>
    </row>
    <row r="23" spans="1:8">
      <c r="A23" s="234"/>
      <c r="B23" s="234"/>
      <c r="C23" s="234"/>
      <c r="E23" s="234"/>
      <c r="F23" s="234"/>
      <c r="G23" s="234"/>
      <c r="H23" s="234"/>
    </row>
    <row r="24" spans="1:8">
      <c r="A24" s="253" t="s">
        <v>391</v>
      </c>
      <c r="B24" s="254"/>
      <c r="C24" s="255"/>
      <c r="E24" s="234"/>
      <c r="F24" s="234"/>
      <c r="G24" s="234"/>
    </row>
    <row r="25" spans="1:8">
      <c r="A25" s="253" t="s">
        <v>201</v>
      </c>
      <c r="B25" s="254"/>
      <c r="C25" s="255"/>
      <c r="E25" s="234"/>
      <c r="F25" s="234"/>
      <c r="G25" s="234"/>
    </row>
    <row r="26" spans="1:8">
      <c r="A26" s="187" t="s">
        <v>1</v>
      </c>
      <c r="B26" s="187" t="s">
        <v>9</v>
      </c>
      <c r="C26" s="187" t="s">
        <v>172</v>
      </c>
      <c r="E26" s="234"/>
      <c r="F26" s="234"/>
      <c r="G26" s="234"/>
    </row>
    <row r="27" spans="1:8">
      <c r="A27" s="187" t="s">
        <v>202</v>
      </c>
      <c r="B27" s="187">
        <v>205.383678</v>
      </c>
      <c r="C27" s="187" t="s">
        <v>203</v>
      </c>
      <c r="E27" s="234"/>
      <c r="F27" s="234"/>
      <c r="G27" s="234"/>
    </row>
    <row r="28" spans="1:8">
      <c r="A28" s="187" t="s">
        <v>204</v>
      </c>
      <c r="B28" s="187"/>
      <c r="C28" s="187"/>
      <c r="E28" s="234"/>
      <c r="F28" s="234"/>
      <c r="G28" s="234"/>
    </row>
    <row r="29" spans="1:8">
      <c r="A29" s="187" t="s">
        <v>205</v>
      </c>
      <c r="B29" s="187">
        <v>-0.32160086927999998</v>
      </c>
      <c r="C29" s="187" t="s">
        <v>206</v>
      </c>
      <c r="E29" s="234"/>
      <c r="F29" s="234"/>
      <c r="G29" s="234"/>
    </row>
    <row r="30" spans="1:8">
      <c r="A30" s="187" t="s">
        <v>207</v>
      </c>
      <c r="B30" s="187"/>
      <c r="C30" s="187"/>
      <c r="E30" s="234"/>
      <c r="F30" s="234"/>
      <c r="G30" s="234"/>
    </row>
    <row r="31" spans="1:8">
      <c r="A31" s="187" t="s">
        <v>208</v>
      </c>
      <c r="B31" s="187">
        <v>16.2571032</v>
      </c>
      <c r="C31" s="187" t="s">
        <v>209</v>
      </c>
      <c r="E31" s="234"/>
      <c r="F31" s="234"/>
      <c r="G31" s="234"/>
    </row>
    <row r="32" spans="1:8">
      <c r="A32" s="187" t="s">
        <v>210</v>
      </c>
      <c r="B32" s="187">
        <v>13.005682500000001</v>
      </c>
      <c r="C32" s="187" t="s">
        <v>209</v>
      </c>
      <c r="E32" s="234"/>
      <c r="F32" s="234"/>
      <c r="G32" s="234"/>
    </row>
    <row r="33" spans="1:7">
      <c r="A33" s="187" t="s">
        <v>211</v>
      </c>
      <c r="B33" s="187">
        <v>0.8</v>
      </c>
      <c r="C33" s="187"/>
      <c r="E33" s="234"/>
      <c r="F33" s="234"/>
      <c r="G33" s="234"/>
    </row>
    <row r="34" spans="1:7">
      <c r="A34" s="187" t="s">
        <v>212</v>
      </c>
      <c r="B34" s="187"/>
      <c r="C34" s="187"/>
      <c r="E34" s="234"/>
      <c r="F34" s="234"/>
      <c r="G34" s="234"/>
    </row>
    <row r="35" spans="1:7">
      <c r="A35" s="187" t="s">
        <v>213</v>
      </c>
      <c r="B35" s="187"/>
      <c r="C35" s="187"/>
      <c r="E35" s="234"/>
      <c r="F35" s="234"/>
      <c r="G35" s="234"/>
    </row>
    <row r="36" spans="1:7">
      <c r="A36" s="187" t="s">
        <v>214</v>
      </c>
      <c r="B36" s="187">
        <v>0.93286217599999999</v>
      </c>
      <c r="C36" s="187"/>
      <c r="E36" s="234"/>
      <c r="F36" s="234"/>
      <c r="G36" s="234"/>
    </row>
    <row r="37" spans="1:7">
      <c r="A37" s="253" t="s">
        <v>215</v>
      </c>
      <c r="B37" s="254"/>
      <c r="C37" s="255"/>
      <c r="E37" s="234"/>
      <c r="F37" s="234"/>
      <c r="G37" s="234"/>
    </row>
    <row r="38" spans="1:7">
      <c r="A38" s="187" t="s">
        <v>1</v>
      </c>
      <c r="B38" s="187" t="s">
        <v>9</v>
      </c>
      <c r="C38" s="187" t="s">
        <v>172</v>
      </c>
      <c r="E38" s="234"/>
      <c r="F38" s="234"/>
      <c r="G38" s="234"/>
    </row>
    <row r="39" spans="1:7">
      <c r="A39" s="187" t="s">
        <v>202</v>
      </c>
      <c r="B39" s="187">
        <v>239.166843</v>
      </c>
      <c r="C39" s="187" t="s">
        <v>203</v>
      </c>
      <c r="E39" s="234"/>
      <c r="F39" s="234"/>
      <c r="G39" s="234"/>
    </row>
    <row r="40" spans="1:7">
      <c r="A40" s="187" t="s">
        <v>205</v>
      </c>
      <c r="B40" s="187">
        <v>0.32338371744</v>
      </c>
      <c r="C40" s="187" t="s">
        <v>206</v>
      </c>
      <c r="E40" s="234"/>
      <c r="F40" s="234"/>
      <c r="G40" s="234"/>
    </row>
    <row r="41" spans="1:7">
      <c r="A41" s="187" t="s">
        <v>216</v>
      </c>
      <c r="B41" s="187">
        <v>1.1700190699999999</v>
      </c>
      <c r="C41" s="187" t="s">
        <v>209</v>
      </c>
      <c r="E41" s="234"/>
      <c r="F41" s="234"/>
      <c r="G41" s="234"/>
    </row>
    <row r="42" spans="1:7">
      <c r="A42" s="187" t="s">
        <v>217</v>
      </c>
      <c r="B42" s="187">
        <v>25.274096700000001</v>
      </c>
      <c r="C42" s="187" t="s">
        <v>209</v>
      </c>
      <c r="E42" s="234"/>
      <c r="F42" s="234"/>
      <c r="G42" s="234"/>
    </row>
    <row r="43" spans="1:7">
      <c r="A43" s="187" t="s">
        <v>218</v>
      </c>
      <c r="B43" s="187">
        <v>21.601440100000001</v>
      </c>
      <c r="C43" s="187"/>
      <c r="E43" s="234"/>
      <c r="F43" s="234"/>
      <c r="G43" s="234"/>
    </row>
    <row r="44" spans="1:7" ht="13" customHeight="1">
      <c r="A44" s="187" t="s">
        <v>219</v>
      </c>
      <c r="B44" s="187">
        <v>6.7137823999999999E-2</v>
      </c>
      <c r="C44" s="187"/>
      <c r="E44" s="234"/>
      <c r="F44" s="234"/>
      <c r="G44" s="234"/>
    </row>
    <row r="45" spans="1:7">
      <c r="A45" s="234"/>
      <c r="B45" s="234"/>
      <c r="C45" s="234"/>
      <c r="E45" s="234"/>
      <c r="F45" s="234"/>
      <c r="G45" s="234"/>
    </row>
    <row r="47" spans="1:7">
      <c r="A47" s="187" t="s">
        <v>392</v>
      </c>
      <c r="B47" s="187">
        <v>9000</v>
      </c>
      <c r="C47" s="187" t="s">
        <v>200</v>
      </c>
    </row>
    <row r="49" spans="1:9">
      <c r="A49" s="187"/>
      <c r="B49" s="187" t="s">
        <v>220</v>
      </c>
      <c r="C49" s="187" t="s">
        <v>221</v>
      </c>
      <c r="D49" s="187" t="s">
        <v>222</v>
      </c>
      <c r="E49" s="187" t="s">
        <v>223</v>
      </c>
      <c r="F49" s="187" t="s">
        <v>224</v>
      </c>
      <c r="G49" s="187" t="s">
        <v>225</v>
      </c>
      <c r="H49" s="187" t="s">
        <v>226</v>
      </c>
      <c r="I49" s="187" t="s">
        <v>227</v>
      </c>
    </row>
    <row r="50" spans="1:9">
      <c r="A50" s="187"/>
      <c r="B50" s="187"/>
      <c r="C50" s="187" t="s">
        <v>228</v>
      </c>
      <c r="D50" s="187" t="s">
        <v>229</v>
      </c>
      <c r="E50" s="187"/>
      <c r="F50" s="187" t="s">
        <v>230</v>
      </c>
      <c r="G50" s="187"/>
      <c r="H50" s="187"/>
      <c r="I50" s="187" t="s">
        <v>229</v>
      </c>
    </row>
    <row r="51" spans="1:9">
      <c r="A51" s="187"/>
      <c r="B51" s="187" t="s">
        <v>229</v>
      </c>
      <c r="C51" s="187" t="s">
        <v>229</v>
      </c>
      <c r="D51" s="187"/>
      <c r="E51" s="187" t="s">
        <v>228</v>
      </c>
      <c r="F51" s="187" t="s">
        <v>228</v>
      </c>
      <c r="G51" s="187" t="s">
        <v>230</v>
      </c>
      <c r="H51" s="187" t="s">
        <v>230</v>
      </c>
      <c r="I51" s="187"/>
    </row>
    <row r="52" spans="1:9">
      <c r="A52" s="187"/>
      <c r="B52" s="187" t="s">
        <v>231</v>
      </c>
      <c r="C52" s="187" t="s">
        <v>231</v>
      </c>
      <c r="D52" s="187" t="s">
        <v>231</v>
      </c>
      <c r="E52" s="187" t="s">
        <v>231</v>
      </c>
      <c r="F52" s="187" t="s">
        <v>231</v>
      </c>
      <c r="G52" s="187" t="s">
        <v>231</v>
      </c>
      <c r="H52" s="187" t="s">
        <v>231</v>
      </c>
      <c r="I52" s="187" t="s">
        <v>231</v>
      </c>
    </row>
    <row r="53" spans="1:9">
      <c r="A53" s="187"/>
      <c r="B53" s="187"/>
      <c r="C53" s="187"/>
      <c r="D53" s="187"/>
      <c r="E53" s="187"/>
      <c r="F53" s="187"/>
      <c r="G53" s="187"/>
      <c r="H53" s="187"/>
      <c r="I53" s="187"/>
    </row>
    <row r="54" spans="1:9">
      <c r="A54" s="187" t="s">
        <v>232</v>
      </c>
      <c r="B54" s="187" t="s">
        <v>99</v>
      </c>
      <c r="C54" s="187" t="s">
        <v>99</v>
      </c>
      <c r="D54" s="187" t="s">
        <v>99</v>
      </c>
      <c r="E54" s="187" t="s">
        <v>99</v>
      </c>
      <c r="F54" s="187" t="s">
        <v>99</v>
      </c>
      <c r="G54" s="187" t="s">
        <v>99</v>
      </c>
      <c r="H54" s="187" t="s">
        <v>99</v>
      </c>
      <c r="I54" s="187" t="s">
        <v>99</v>
      </c>
    </row>
    <row r="55" spans="1:9">
      <c r="A55" s="187" t="s">
        <v>233</v>
      </c>
      <c r="B55" s="187" t="s">
        <v>99</v>
      </c>
      <c r="C55" s="187" t="s">
        <v>99</v>
      </c>
      <c r="D55" s="187" t="s">
        <v>99</v>
      </c>
      <c r="E55" s="187" t="s">
        <v>99</v>
      </c>
      <c r="F55" s="187" t="s">
        <v>99</v>
      </c>
      <c r="G55" s="187" t="s">
        <v>99</v>
      </c>
      <c r="H55" s="187" t="s">
        <v>99</v>
      </c>
      <c r="I55" s="187" t="s">
        <v>99</v>
      </c>
    </row>
    <row r="56" spans="1:9">
      <c r="A56" s="187" t="s">
        <v>234</v>
      </c>
      <c r="B56" s="188">
        <v>22470.27</v>
      </c>
      <c r="C56" s="188">
        <v>34.512</v>
      </c>
      <c r="D56" s="188">
        <v>22504.78</v>
      </c>
      <c r="E56" s="188">
        <v>34.512</v>
      </c>
      <c r="F56" s="188">
        <v>5.7309999999999996E-49</v>
      </c>
      <c r="G56" s="188">
        <v>0</v>
      </c>
      <c r="H56" s="188">
        <v>0</v>
      </c>
      <c r="I56" s="188">
        <v>0</v>
      </c>
    </row>
    <row r="57" spans="1:9">
      <c r="A57" s="187" t="s">
        <v>235</v>
      </c>
      <c r="B57" s="188">
        <v>0.61060729999999996</v>
      </c>
      <c r="C57" s="188">
        <v>16.340140000000002</v>
      </c>
      <c r="D57" s="188">
        <v>16.950749999999999</v>
      </c>
      <c r="E57" s="188">
        <v>0.1820609</v>
      </c>
      <c r="F57" s="188">
        <v>16.158080000000002</v>
      </c>
      <c r="G57" s="188">
        <v>9.5682200000000007E-7</v>
      </c>
      <c r="H57" s="188">
        <v>16.158080000000002</v>
      </c>
      <c r="I57" s="188">
        <v>0</v>
      </c>
    </row>
    <row r="58" spans="1:9">
      <c r="A58" s="187" t="s">
        <v>236</v>
      </c>
      <c r="B58" s="188">
        <v>6.2059000000000006E-14</v>
      </c>
      <c r="C58" s="188">
        <v>1.2689490000000001</v>
      </c>
      <c r="D58" s="188">
        <v>1.2689490000000001</v>
      </c>
      <c r="E58" s="188">
        <v>1.09022E-7</v>
      </c>
      <c r="F58" s="188">
        <v>1.2689490000000001</v>
      </c>
      <c r="G58" s="188">
        <v>1.170018</v>
      </c>
      <c r="H58" s="188">
        <v>9.8930699999999996E-2</v>
      </c>
      <c r="I58" s="188">
        <v>0</v>
      </c>
    </row>
    <row r="59" spans="1:9">
      <c r="A59" s="187" t="s">
        <v>237</v>
      </c>
      <c r="B59" s="188">
        <v>5.7169569999999998</v>
      </c>
      <c r="C59" s="188">
        <v>63.391370000000002</v>
      </c>
      <c r="D59" s="188">
        <v>0</v>
      </c>
      <c r="E59" s="188">
        <v>63.391280000000002</v>
      </c>
      <c r="F59" s="188">
        <v>9.5730199999999994E-5</v>
      </c>
      <c r="G59" s="188">
        <v>2.7298E-16</v>
      </c>
      <c r="H59" s="188">
        <v>9.5730199999999994E-5</v>
      </c>
      <c r="I59" s="188">
        <v>69.108329999999995</v>
      </c>
    </row>
    <row r="60" spans="1:9">
      <c r="A60" s="187" t="s">
        <v>238</v>
      </c>
      <c r="B60" s="188">
        <v>21.65307</v>
      </c>
      <c r="C60" s="188">
        <v>3.7934600000000001</v>
      </c>
      <c r="D60" s="188">
        <v>25.446529999999999</v>
      </c>
      <c r="E60" s="188">
        <v>3.7934600000000001</v>
      </c>
      <c r="F60" s="188">
        <v>2.1529999999999998E-12</v>
      </c>
      <c r="G60" s="188">
        <v>1.0124000000000001E-28</v>
      </c>
      <c r="H60" s="188">
        <v>2.1529999999999998E-12</v>
      </c>
      <c r="I60" s="188">
        <v>0</v>
      </c>
    </row>
    <row r="61" spans="1:9">
      <c r="A61" s="187" t="s">
        <v>239</v>
      </c>
      <c r="B61" s="188">
        <v>22.078800000000001</v>
      </c>
      <c r="C61" s="188">
        <v>0.4681109</v>
      </c>
      <c r="D61" s="188">
        <v>22.54692</v>
      </c>
      <c r="E61" s="188">
        <v>0.4681109</v>
      </c>
      <c r="F61" s="188">
        <v>5.0087999999999997E-26</v>
      </c>
      <c r="G61" s="188">
        <v>0</v>
      </c>
      <c r="H61" s="188">
        <v>0</v>
      </c>
      <c r="I61" s="188">
        <v>0</v>
      </c>
    </row>
    <row r="62" spans="1:9">
      <c r="A62" s="187" t="s">
        <v>240</v>
      </c>
      <c r="B62" s="188">
        <v>0</v>
      </c>
      <c r="C62" s="188">
        <v>0</v>
      </c>
      <c r="D62" s="188">
        <v>0</v>
      </c>
      <c r="E62" s="188">
        <v>0</v>
      </c>
      <c r="F62" s="188">
        <v>0</v>
      </c>
      <c r="G62" s="188">
        <v>0</v>
      </c>
      <c r="H62" s="188">
        <v>0</v>
      </c>
      <c r="I62" s="188">
        <v>0</v>
      </c>
    </row>
    <row r="63" spans="1:9" ht="6.75" customHeight="1">
      <c r="A63" s="189"/>
      <c r="B63" s="190"/>
      <c r="C63" s="190"/>
      <c r="D63" s="190"/>
      <c r="E63" s="190"/>
      <c r="F63" s="190"/>
      <c r="G63" s="190"/>
      <c r="H63" s="190"/>
      <c r="I63" s="190"/>
    </row>
    <row r="64" spans="1:9">
      <c r="A64" s="187" t="s">
        <v>241</v>
      </c>
      <c r="B64" s="188" t="s">
        <v>99</v>
      </c>
      <c r="C64" s="188" t="s">
        <v>99</v>
      </c>
      <c r="D64" s="188" t="s">
        <v>99</v>
      </c>
      <c r="E64" s="188" t="s">
        <v>99</v>
      </c>
      <c r="F64" s="188" t="s">
        <v>99</v>
      </c>
      <c r="G64" s="188" t="s">
        <v>99</v>
      </c>
      <c r="H64" s="188" t="s">
        <v>99</v>
      </c>
      <c r="I64" s="188" t="s">
        <v>99</v>
      </c>
    </row>
    <row r="65" spans="1:11">
      <c r="A65" s="187" t="s">
        <v>234</v>
      </c>
      <c r="B65" s="188">
        <v>404808</v>
      </c>
      <c r="C65" s="188">
        <v>621.74339999999995</v>
      </c>
      <c r="D65" s="188">
        <v>405430</v>
      </c>
      <c r="E65" s="188">
        <v>621.74339999999995</v>
      </c>
      <c r="F65" s="188">
        <v>1.0325E-47</v>
      </c>
      <c r="G65" s="188">
        <v>0</v>
      </c>
      <c r="H65" s="188">
        <v>0</v>
      </c>
      <c r="I65" s="188">
        <v>0</v>
      </c>
    </row>
    <row r="66" spans="1:11">
      <c r="A66" s="187" t="s">
        <v>235</v>
      </c>
      <c r="B66" s="188">
        <v>70.928200000000004</v>
      </c>
      <c r="C66" s="188">
        <v>1898.0719999999999</v>
      </c>
      <c r="D66" s="188">
        <v>1969</v>
      </c>
      <c r="E66" s="188">
        <v>21.148209999999999</v>
      </c>
      <c r="F66" s="188">
        <v>1876.924</v>
      </c>
      <c r="G66" s="188">
        <v>1.1114499999999999E-4</v>
      </c>
      <c r="H66" s="188">
        <v>1876.923</v>
      </c>
      <c r="I66" s="188">
        <v>0</v>
      </c>
    </row>
    <row r="67" spans="1:11">
      <c r="A67" s="187" t="s">
        <v>236</v>
      </c>
      <c r="B67" s="188">
        <v>8.9497999999999997E-12</v>
      </c>
      <c r="C67" s="188">
        <v>183</v>
      </c>
      <c r="D67" s="188">
        <v>183</v>
      </c>
      <c r="E67" s="188">
        <v>1.5722500000000001E-5</v>
      </c>
      <c r="F67" s="188">
        <v>183</v>
      </c>
      <c r="G67" s="188">
        <v>168.7328</v>
      </c>
      <c r="H67" s="188">
        <v>14.26718</v>
      </c>
      <c r="I67" s="188">
        <v>0</v>
      </c>
    </row>
    <row r="68" spans="1:11">
      <c r="A68" s="187" t="s">
        <v>237</v>
      </c>
      <c r="B68" s="188">
        <v>744.52120000000002</v>
      </c>
      <c r="C68" s="188">
        <v>8255.4789999999994</v>
      </c>
      <c r="D68" s="188">
        <v>0</v>
      </c>
      <c r="E68" s="188">
        <v>8255.4660000000003</v>
      </c>
      <c r="F68" s="188">
        <v>1.24669E-2</v>
      </c>
      <c r="G68" s="188">
        <v>3.5551E-14</v>
      </c>
      <c r="H68" s="188">
        <v>1.24669E-2</v>
      </c>
      <c r="I68" s="188">
        <v>9000</v>
      </c>
    </row>
    <row r="69" spans="1:11">
      <c r="A69" s="187" t="s">
        <v>238</v>
      </c>
      <c r="B69" s="188">
        <v>1907.7719999999999</v>
      </c>
      <c r="C69" s="188">
        <v>334.2278</v>
      </c>
      <c r="D69" s="188">
        <v>2242</v>
      </c>
      <c r="E69" s="188">
        <v>334.2278</v>
      </c>
      <c r="F69" s="188">
        <v>1.897E-10</v>
      </c>
      <c r="G69" s="188">
        <v>8.9197E-27</v>
      </c>
      <c r="H69" s="188">
        <v>1.897E-10</v>
      </c>
      <c r="I69" s="188">
        <v>0</v>
      </c>
    </row>
    <row r="70" spans="1:11">
      <c r="A70" s="187" t="s">
        <v>239</v>
      </c>
      <c r="B70" s="188">
        <v>1325.8889999999999</v>
      </c>
      <c r="C70" s="188">
        <v>28.111260000000001</v>
      </c>
      <c r="D70" s="188">
        <v>1354</v>
      </c>
      <c r="E70" s="188">
        <v>28.111260000000001</v>
      </c>
      <c r="F70" s="188">
        <v>3.0078999999999998E-24</v>
      </c>
      <c r="G70" s="188">
        <v>0</v>
      </c>
      <c r="H70" s="188">
        <v>0</v>
      </c>
      <c r="I70" s="188">
        <v>0</v>
      </c>
    </row>
    <row r="71" spans="1:11">
      <c r="A71" s="187" t="s">
        <v>240</v>
      </c>
      <c r="B71" s="188">
        <v>0</v>
      </c>
      <c r="C71" s="188">
        <v>0</v>
      </c>
      <c r="D71" s="188">
        <v>0</v>
      </c>
      <c r="E71" s="188">
        <v>0</v>
      </c>
      <c r="F71" s="188">
        <v>0</v>
      </c>
      <c r="G71" s="188">
        <v>0</v>
      </c>
      <c r="H71" s="188">
        <v>0</v>
      </c>
      <c r="I71" s="188">
        <v>0</v>
      </c>
    </row>
    <row r="72" spans="1:11">
      <c r="A72" s="187" t="s">
        <v>242</v>
      </c>
      <c r="B72" s="188">
        <v>22520.33</v>
      </c>
      <c r="C72" s="188">
        <v>119.774</v>
      </c>
      <c r="D72" s="188">
        <v>22571</v>
      </c>
      <c r="E72" s="188">
        <v>102.34690000000001</v>
      </c>
      <c r="F72" s="188">
        <v>17.427119999999999</v>
      </c>
      <c r="G72" s="188">
        <v>1.1700189999999999</v>
      </c>
      <c r="H72" s="188">
        <v>16.257100000000001</v>
      </c>
      <c r="I72" s="188">
        <v>69.108329999999995</v>
      </c>
    </row>
    <row r="73" spans="1:11">
      <c r="A73" s="187" t="s">
        <v>243</v>
      </c>
      <c r="B73" s="188">
        <v>409561</v>
      </c>
      <c r="C73" s="188">
        <v>11320.63</v>
      </c>
      <c r="D73" s="233">
        <v>410876.125</v>
      </c>
      <c r="E73" s="188">
        <v>9260.6970000000001</v>
      </c>
      <c r="F73" s="188">
        <v>2059.9360000000001</v>
      </c>
      <c r="G73" s="188">
        <v>168.7329</v>
      </c>
      <c r="H73" s="188">
        <v>1891.203</v>
      </c>
      <c r="I73" s="188">
        <v>9000</v>
      </c>
      <c r="K73" s="232"/>
    </row>
    <row r="74" spans="1:11">
      <c r="A74" s="187" t="s">
        <v>244</v>
      </c>
      <c r="B74" s="188">
        <v>6864.4250000000002</v>
      </c>
      <c r="C74" s="188">
        <v>218.2954</v>
      </c>
      <c r="D74" s="188">
        <v>6906.1350000000002</v>
      </c>
      <c r="E74" s="188">
        <v>195.7174</v>
      </c>
      <c r="F74" s="188">
        <v>45.788809999999998</v>
      </c>
      <c r="G74" s="188">
        <v>3.9174859999999998</v>
      </c>
      <c r="H74" s="188">
        <v>41.964530000000003</v>
      </c>
      <c r="I74" s="188">
        <v>183.77199999999999</v>
      </c>
    </row>
    <row r="75" spans="1:11">
      <c r="A75" s="187" t="s">
        <v>245</v>
      </c>
      <c r="B75" s="188">
        <v>25.040949999999999</v>
      </c>
      <c r="C75" s="188">
        <v>24.983519999999999</v>
      </c>
      <c r="D75" s="188">
        <v>25</v>
      </c>
      <c r="E75" s="188">
        <v>95.634990000000002</v>
      </c>
      <c r="F75" s="188">
        <v>206.89920000000001</v>
      </c>
      <c r="G75" s="188">
        <v>239.16679999999999</v>
      </c>
      <c r="H75" s="188">
        <v>205.3837</v>
      </c>
      <c r="I75" s="188">
        <v>25</v>
      </c>
    </row>
    <row r="76" spans="1:11">
      <c r="A76" s="187" t="s">
        <v>246</v>
      </c>
      <c r="B76" s="188">
        <v>1</v>
      </c>
      <c r="C76" s="188">
        <v>1</v>
      </c>
      <c r="D76" s="188">
        <v>1</v>
      </c>
      <c r="E76" s="188">
        <v>1</v>
      </c>
      <c r="F76" s="188">
        <v>1</v>
      </c>
      <c r="G76" s="188">
        <v>1</v>
      </c>
      <c r="H76" s="188">
        <v>1</v>
      </c>
      <c r="I76" s="188">
        <v>1</v>
      </c>
    </row>
    <row r="77" spans="1:11">
      <c r="A77" s="187" t="s">
        <v>247</v>
      </c>
      <c r="B77" s="188">
        <v>0</v>
      </c>
      <c r="C77" s="188">
        <v>0</v>
      </c>
      <c r="D77" s="188">
        <v>0</v>
      </c>
      <c r="E77" s="188">
        <v>0</v>
      </c>
      <c r="F77" s="188">
        <v>0</v>
      </c>
      <c r="G77" s="188">
        <v>0</v>
      </c>
      <c r="H77" s="188">
        <v>0</v>
      </c>
      <c r="I77" s="188">
        <v>0</v>
      </c>
    </row>
    <row r="78" spans="1:11">
      <c r="A78" s="187" t="s">
        <v>248</v>
      </c>
      <c r="B78" s="188">
        <v>1</v>
      </c>
      <c r="C78" s="188">
        <v>1</v>
      </c>
      <c r="D78" s="188">
        <v>1</v>
      </c>
      <c r="E78" s="188">
        <v>1</v>
      </c>
      <c r="F78" s="188">
        <v>1</v>
      </c>
      <c r="G78" s="188">
        <v>1</v>
      </c>
      <c r="H78" s="188">
        <v>1</v>
      </c>
      <c r="I78" s="188">
        <v>1</v>
      </c>
    </row>
    <row r="79" spans="1:11">
      <c r="A79" s="187" t="s">
        <v>249</v>
      </c>
      <c r="B79" s="188">
        <v>0</v>
      </c>
      <c r="C79" s="188">
        <v>0</v>
      </c>
      <c r="D79" s="188">
        <v>0</v>
      </c>
      <c r="E79" s="188">
        <v>0</v>
      </c>
      <c r="F79" s="188">
        <v>0</v>
      </c>
      <c r="G79" s="188">
        <v>0</v>
      </c>
      <c r="H79" s="188">
        <v>0</v>
      </c>
      <c r="I79" s="188">
        <v>0</v>
      </c>
    </row>
    <row r="80" spans="1:11">
      <c r="A80" s="187" t="s">
        <v>250</v>
      </c>
      <c r="B80" s="188">
        <v>-68365.039999999994</v>
      </c>
      <c r="C80" s="188">
        <v>-100410</v>
      </c>
      <c r="D80" s="188">
        <v>-68420.25</v>
      </c>
      <c r="E80" s="188">
        <v>-89587.55</v>
      </c>
      <c r="F80" s="188">
        <v>-125510</v>
      </c>
      <c r="G80" s="188">
        <v>-132350</v>
      </c>
      <c r="H80" s="188">
        <v>-124910</v>
      </c>
      <c r="I80" s="188">
        <v>-105860</v>
      </c>
    </row>
    <row r="81" spans="1:9">
      <c r="A81" s="187" t="s">
        <v>251</v>
      </c>
      <c r="B81" s="188">
        <v>-3765.625</v>
      </c>
      <c r="C81" s="188">
        <v>-1062.335</v>
      </c>
      <c r="D81" s="188">
        <v>-3755.8270000000002</v>
      </c>
      <c r="E81" s="188">
        <v>-990.09929999999997</v>
      </c>
      <c r="F81" s="188">
        <v>-1061.8330000000001</v>
      </c>
      <c r="G81" s="188">
        <v>-917.721</v>
      </c>
      <c r="H81" s="188">
        <v>-1073.7470000000001</v>
      </c>
      <c r="I81" s="188">
        <v>-812.88580000000002</v>
      </c>
    </row>
    <row r="82" spans="1:9">
      <c r="A82" s="187" t="s">
        <v>252</v>
      </c>
      <c r="B82" s="188">
        <v>-427670000</v>
      </c>
      <c r="C82" s="188">
        <v>-3340600</v>
      </c>
      <c r="D82" s="188">
        <v>-428980000</v>
      </c>
      <c r="E82" s="188">
        <v>-2546900</v>
      </c>
      <c r="F82" s="188">
        <v>-607590</v>
      </c>
      <c r="G82" s="188">
        <v>-43013.82</v>
      </c>
      <c r="H82" s="188">
        <v>-564080</v>
      </c>
      <c r="I82" s="188">
        <v>-2032200</v>
      </c>
    </row>
    <row r="83" spans="1:9">
      <c r="A83" s="187" t="s">
        <v>253</v>
      </c>
      <c r="B83" s="188">
        <v>-39.079030000000003</v>
      </c>
      <c r="C83" s="188">
        <v>-161.80770000000001</v>
      </c>
      <c r="D83" s="188">
        <v>-39.143770000000004</v>
      </c>
      <c r="E83" s="188">
        <v>-147.70060000000001</v>
      </c>
      <c r="F83" s="188">
        <v>-142.8124</v>
      </c>
      <c r="G83" s="188">
        <v>-177.01169999999999</v>
      </c>
      <c r="H83" s="188">
        <v>-140.61449999999999</v>
      </c>
      <c r="I83" s="188">
        <v>-231.5461</v>
      </c>
    </row>
    <row r="84" spans="1:9">
      <c r="A84" s="187" t="s">
        <v>254</v>
      </c>
      <c r="B84" s="188">
        <v>-2.1525180000000002</v>
      </c>
      <c r="C84" s="188">
        <v>-1.7119500000000001</v>
      </c>
      <c r="D84" s="188">
        <v>-2.148739</v>
      </c>
      <c r="E84" s="188">
        <v>-1.63235</v>
      </c>
      <c r="F84" s="188">
        <v>-1.2081980000000001</v>
      </c>
      <c r="G84" s="188">
        <v>-1.227425</v>
      </c>
      <c r="H84" s="188">
        <v>-1.2087460000000001</v>
      </c>
      <c r="I84" s="188">
        <v>-1.7779739999999999</v>
      </c>
    </row>
    <row r="85" spans="1:9">
      <c r="A85" s="187" t="s">
        <v>255</v>
      </c>
      <c r="B85" s="188">
        <v>5.46788E-2</v>
      </c>
      <c r="C85" s="188">
        <v>9.1446400000000008E-3</v>
      </c>
      <c r="D85" s="188">
        <v>5.44708E-2</v>
      </c>
      <c r="E85" s="188">
        <v>8.7155400000000008E-3</v>
      </c>
      <c r="F85" s="188">
        <v>6.3432999999999996E-3</v>
      </c>
      <c r="G85" s="188">
        <v>4.9777600000000003E-3</v>
      </c>
      <c r="H85" s="188">
        <v>6.4566800000000002E-3</v>
      </c>
      <c r="I85" s="188">
        <v>6.26758E-3</v>
      </c>
    </row>
    <row r="86" spans="1:9">
      <c r="A86" s="187" t="s">
        <v>256</v>
      </c>
      <c r="B86" s="188">
        <v>0.99269629999999998</v>
      </c>
      <c r="C86" s="188">
        <v>0.86432050000000005</v>
      </c>
      <c r="D86" s="188">
        <v>0.99230130000000005</v>
      </c>
      <c r="E86" s="188">
        <v>0.78861139999999996</v>
      </c>
      <c r="F86" s="188">
        <v>0.74979600000000002</v>
      </c>
      <c r="G86" s="188">
        <v>0.71786220000000001</v>
      </c>
      <c r="H86" s="188">
        <v>0.75111170000000005</v>
      </c>
      <c r="I86" s="188">
        <v>0.81622890000000003</v>
      </c>
    </row>
    <row r="87" spans="1:9">
      <c r="A87" s="187" t="s">
        <v>257</v>
      </c>
      <c r="B87" s="188">
        <v>18.15503</v>
      </c>
      <c r="C87" s="188">
        <v>94.516589999999994</v>
      </c>
      <c r="D87" s="188">
        <v>18.217089999999999</v>
      </c>
      <c r="E87" s="188">
        <v>90.483400000000003</v>
      </c>
      <c r="F87" s="188">
        <v>118.2029</v>
      </c>
      <c r="G87" s="188">
        <v>144.21379999999999</v>
      </c>
      <c r="H87" s="188">
        <v>116.3309</v>
      </c>
      <c r="I87" s="188">
        <v>130.2303</v>
      </c>
    </row>
    <row r="88" spans="1:9">
      <c r="A88" s="187" t="s">
        <v>258</v>
      </c>
      <c r="B88" s="188">
        <v>6830.5749999999998</v>
      </c>
      <c r="C88" s="188">
        <v>223.0428</v>
      </c>
      <c r="D88" s="188">
        <v>6869.79</v>
      </c>
      <c r="E88" s="188">
        <v>185.62950000000001</v>
      </c>
      <c r="F88" s="188">
        <v>37.413229999999999</v>
      </c>
      <c r="G88" s="188">
        <v>3.1103000000000001</v>
      </c>
      <c r="H88" s="188">
        <v>34.302930000000003</v>
      </c>
      <c r="I88" s="188">
        <v>183.82820000000001</v>
      </c>
    </row>
    <row r="89" spans="1:9">
      <c r="A89" s="187" t="s">
        <v>259</v>
      </c>
      <c r="B89" s="188" t="s">
        <v>99</v>
      </c>
      <c r="C89" s="188" t="s">
        <v>99</v>
      </c>
      <c r="D89" s="188" t="s">
        <v>99</v>
      </c>
      <c r="E89" s="188" t="s">
        <v>99</v>
      </c>
      <c r="F89" s="188" t="s">
        <v>99</v>
      </c>
      <c r="G89" s="188" t="s">
        <v>99</v>
      </c>
      <c r="H89" s="188" t="s">
        <v>99</v>
      </c>
      <c r="I89" s="188" t="s">
        <v>99</v>
      </c>
    </row>
    <row r="90" spans="1:9">
      <c r="A90" s="187" t="s">
        <v>260</v>
      </c>
      <c r="B90" s="188">
        <v>5.3403199999999997E-5</v>
      </c>
      <c r="C90" s="188">
        <v>7.94686E-3</v>
      </c>
      <c r="D90" s="188">
        <v>7.54325E-5</v>
      </c>
      <c r="E90" s="188">
        <v>8.2228900000000001E-3</v>
      </c>
      <c r="F90" s="188">
        <v>6.7059099999999998E-3</v>
      </c>
      <c r="G90" s="188">
        <v>7.3667400000000001E-3</v>
      </c>
      <c r="H90" s="188">
        <v>6.6469500000000004E-3</v>
      </c>
      <c r="I90" s="188">
        <v>8.9757299999999995E-3</v>
      </c>
    </row>
    <row r="91" spans="1:9">
      <c r="A91" s="187" t="s">
        <v>261</v>
      </c>
      <c r="B91" s="188">
        <f>B90*B73</f>
        <v>21.871867995199999</v>
      </c>
      <c r="C91" s="188">
        <f t="shared" ref="C91:H91" si="0">C90*C73</f>
        <v>89.963461721799987</v>
      </c>
      <c r="D91" s="188">
        <f>D90*D73</f>
        <v>30.9934132990625</v>
      </c>
      <c r="E91" s="188">
        <f t="shared" si="0"/>
        <v>76.149692754330005</v>
      </c>
      <c r="F91" s="188">
        <f t="shared" si="0"/>
        <v>13.81374542176</v>
      </c>
      <c r="G91" s="188">
        <f t="shared" si="0"/>
        <v>1.2430114037460001</v>
      </c>
      <c r="H91" s="188">
        <f t="shared" si="0"/>
        <v>12.57073178085</v>
      </c>
      <c r="I91" s="188">
        <f>I90*I73</f>
        <v>80.781570000000002</v>
      </c>
    </row>
    <row r="95" spans="1:9">
      <c r="A95" s="186" t="s">
        <v>262</v>
      </c>
      <c r="B95" s="186">
        <f>B74*0.000380407753788</f>
        <v>2.6112804952961919</v>
      </c>
      <c r="C95" s="186">
        <f t="shared" ref="C95:I95" si="1">C74*0.000380407753788</f>
        <v>8.3041262776252969E-2</v>
      </c>
      <c r="D95" s="186">
        <f t="shared" si="1"/>
        <v>2.6271473027066894</v>
      </c>
      <c r="E95" s="186">
        <f t="shared" si="1"/>
        <v>7.4452416511227512E-2</v>
      </c>
      <c r="F95" s="186">
        <f t="shared" si="1"/>
        <v>1.741841836072551E-2</v>
      </c>
      <c r="G95" s="186">
        <f t="shared" si="1"/>
        <v>1.4902420497559369E-3</v>
      </c>
      <c r="H95" s="186">
        <f t="shared" si="1"/>
        <v>1.596363259606914E-2</v>
      </c>
      <c r="I95" s="186">
        <f t="shared" si="1"/>
        <v>6.9908293729128324E-2</v>
      </c>
    </row>
  </sheetData>
  <mergeCells count="9">
    <mergeCell ref="A24:C24"/>
    <mergeCell ref="A25:C25"/>
    <mergeCell ref="A37:C37"/>
    <mergeCell ref="A2:C2"/>
    <mergeCell ref="E2:G2"/>
    <mergeCell ref="A3:C3"/>
    <mergeCell ref="E3:G3"/>
    <mergeCell ref="A15:C15"/>
    <mergeCell ref="E15:G15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zoomScale="75" zoomScaleNormal="75" zoomScalePageLayoutView="75" workbookViewId="0">
      <selection activeCell="A2" sqref="A2"/>
    </sheetView>
  </sheetViews>
  <sheetFormatPr baseColWidth="10" defaultRowHeight="15" x14ac:dyDescent="0"/>
  <cols>
    <col min="1" max="1" width="4.1640625" style="128" customWidth="1"/>
    <col min="2" max="2" width="5.5" style="128" customWidth="1"/>
    <col min="3" max="3" width="20.1640625" style="128" customWidth="1"/>
    <col min="4" max="5" width="10.83203125" style="128"/>
    <col min="6" max="6" width="16.5" style="128" customWidth="1"/>
    <col min="7" max="10" width="10.83203125" style="128"/>
    <col min="11" max="11" width="14.5" style="128" customWidth="1"/>
    <col min="12" max="13" width="10.83203125" style="128"/>
    <col min="14" max="14" width="18.33203125" style="128" customWidth="1"/>
    <col min="15" max="16384" width="10.83203125" style="128"/>
  </cols>
  <sheetData>
    <row r="1" spans="1:23" ht="19" thickBot="1">
      <c r="A1" s="267" t="s">
        <v>394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</row>
    <row r="2" spans="1:23" s="244" customFormat="1" thickBot="1">
      <c r="A2" s="236" t="s">
        <v>156</v>
      </c>
      <c r="B2" s="237"/>
      <c r="C2" s="238"/>
      <c r="D2" s="239"/>
      <c r="E2" s="239"/>
      <c r="F2" s="239"/>
      <c r="G2" s="239"/>
      <c r="H2" s="239"/>
      <c r="I2" s="239"/>
      <c r="J2" s="239"/>
      <c r="K2" s="240"/>
      <c r="L2" s="241" t="s">
        <v>157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3"/>
    </row>
    <row r="3" spans="1:23" ht="64" customHeight="1" thickBot="1">
      <c r="A3" s="257" t="s">
        <v>158</v>
      </c>
      <c r="B3" s="258"/>
      <c r="C3" s="129" t="s">
        <v>159</v>
      </c>
      <c r="D3" s="129" t="s">
        <v>160</v>
      </c>
      <c r="E3" s="129" t="s">
        <v>161</v>
      </c>
      <c r="F3" s="130" t="s">
        <v>162</v>
      </c>
      <c r="G3" s="131" t="s">
        <v>163</v>
      </c>
      <c r="H3" s="130" t="s">
        <v>164</v>
      </c>
      <c r="I3" s="130" t="s">
        <v>165</v>
      </c>
      <c r="J3" s="132" t="s">
        <v>166</v>
      </c>
      <c r="K3" s="133" t="s">
        <v>167</v>
      </c>
      <c r="L3" s="134" t="s">
        <v>168</v>
      </c>
      <c r="M3" s="129" t="s">
        <v>169</v>
      </c>
      <c r="N3" s="129" t="s">
        <v>170</v>
      </c>
      <c r="O3" s="132" t="s">
        <v>171</v>
      </c>
      <c r="P3" s="135" t="s">
        <v>172</v>
      </c>
      <c r="Q3" s="136" t="s">
        <v>173</v>
      </c>
      <c r="R3" s="137" t="s">
        <v>174</v>
      </c>
      <c r="S3" s="135" t="s">
        <v>175</v>
      </c>
      <c r="T3" s="135" t="s">
        <v>176</v>
      </c>
      <c r="U3" s="129" t="s">
        <v>177</v>
      </c>
      <c r="V3" s="129" t="s">
        <v>178</v>
      </c>
      <c r="W3" s="138" t="s">
        <v>179</v>
      </c>
    </row>
    <row r="4" spans="1:23" ht="34" customHeight="1">
      <c r="A4" s="139"/>
      <c r="B4" s="140"/>
      <c r="C4" s="141" t="s">
        <v>180</v>
      </c>
      <c r="D4" s="142"/>
      <c r="E4" s="143"/>
      <c r="F4" s="144" t="s">
        <v>181</v>
      </c>
      <c r="G4" s="145"/>
      <c r="H4" s="143" t="s">
        <v>182</v>
      </c>
      <c r="I4" s="146"/>
      <c r="J4" s="147">
        <v>4</v>
      </c>
      <c r="K4" s="148">
        <v>27000000</v>
      </c>
      <c r="L4" s="149">
        <v>2010</v>
      </c>
      <c r="M4" s="150">
        <v>27000000</v>
      </c>
      <c r="N4" s="151" t="s">
        <v>183</v>
      </c>
      <c r="O4" s="152">
        <v>31</v>
      </c>
      <c r="P4" s="153" t="s">
        <v>184</v>
      </c>
      <c r="Q4" s="154">
        <v>0.6</v>
      </c>
      <c r="R4" s="155">
        <v>1</v>
      </c>
      <c r="S4" s="152">
        <v>4</v>
      </c>
      <c r="T4" s="154">
        <v>0.12903225806451613</v>
      </c>
      <c r="U4" s="150">
        <v>7902831.8714881642</v>
      </c>
      <c r="V4" s="150">
        <v>7538394.8171384931</v>
      </c>
      <c r="W4" s="156">
        <v>7538394.8171384931</v>
      </c>
    </row>
    <row r="5" spans="1:23" ht="38" customHeight="1">
      <c r="A5" s="139"/>
      <c r="B5" s="140"/>
      <c r="C5" s="157" t="s">
        <v>185</v>
      </c>
      <c r="D5" s="158"/>
      <c r="E5" s="159"/>
      <c r="F5" s="160" t="s">
        <v>186</v>
      </c>
      <c r="G5" s="161">
        <v>50</v>
      </c>
      <c r="H5" s="159"/>
      <c r="I5" s="162"/>
      <c r="J5" s="163">
        <v>4</v>
      </c>
      <c r="K5" s="164">
        <v>231488</v>
      </c>
      <c r="L5" s="149">
        <v>2010</v>
      </c>
      <c r="M5" s="150">
        <v>231488</v>
      </c>
      <c r="N5" s="151" t="s">
        <v>183</v>
      </c>
      <c r="O5" s="165">
        <v>393100</v>
      </c>
      <c r="P5" s="166" t="s">
        <v>143</v>
      </c>
      <c r="Q5" s="154">
        <v>0.6</v>
      </c>
      <c r="R5" s="155">
        <v>1</v>
      </c>
      <c r="S5" s="152">
        <v>405430</v>
      </c>
      <c r="T5" s="154">
        <v>1.0313660646146019</v>
      </c>
      <c r="U5" s="150">
        <v>235817.58382056159</v>
      </c>
      <c r="V5" s="150">
        <v>224942.91673805928</v>
      </c>
      <c r="W5" s="156">
        <v>224942.91673805928</v>
      </c>
    </row>
    <row r="6" spans="1:23">
      <c r="A6" s="139"/>
      <c r="B6" s="140"/>
      <c r="C6" s="157" t="s">
        <v>187</v>
      </c>
      <c r="D6" s="158"/>
      <c r="E6" s="159"/>
      <c r="F6" s="160" t="s">
        <v>188</v>
      </c>
      <c r="G6" s="161">
        <v>1.5</v>
      </c>
      <c r="H6" s="159"/>
      <c r="I6" s="162"/>
      <c r="J6" s="163">
        <v>4</v>
      </c>
      <c r="K6" s="164">
        <v>30400</v>
      </c>
      <c r="L6" s="149">
        <v>2010</v>
      </c>
      <c r="M6" s="150">
        <v>30400</v>
      </c>
      <c r="N6" s="151" t="s">
        <v>183</v>
      </c>
      <c r="O6" s="152">
        <v>393100</v>
      </c>
      <c r="P6" s="153" t="s">
        <v>143</v>
      </c>
      <c r="Q6" s="154">
        <v>0.6</v>
      </c>
      <c r="R6" s="155">
        <v>1</v>
      </c>
      <c r="S6" s="152">
        <v>405430</v>
      </c>
      <c r="T6" s="154">
        <v>1.0313660646146019</v>
      </c>
      <c r="U6" s="150">
        <v>30968.579572785944</v>
      </c>
      <c r="V6" s="150">
        <v>29540.471509698138</v>
      </c>
      <c r="W6" s="156">
        <v>29540.471509698138</v>
      </c>
    </row>
    <row r="7" spans="1:23">
      <c r="A7" s="139"/>
      <c r="B7" s="140"/>
      <c r="C7" s="157" t="s">
        <v>189</v>
      </c>
      <c r="D7" s="158"/>
      <c r="E7" s="159"/>
      <c r="F7" s="160" t="s">
        <v>190</v>
      </c>
      <c r="G7" s="161"/>
      <c r="H7" s="143" t="s">
        <v>191</v>
      </c>
      <c r="I7" s="162"/>
      <c r="J7" s="163">
        <v>2</v>
      </c>
      <c r="K7" s="164">
        <v>170416.6335602132</v>
      </c>
      <c r="L7" s="149">
        <v>2001</v>
      </c>
      <c r="M7" s="150">
        <v>170416.6335602132</v>
      </c>
      <c r="N7" s="151" t="s">
        <v>183</v>
      </c>
      <c r="O7" s="152">
        <v>1</v>
      </c>
      <c r="P7" s="153" t="s">
        <v>192</v>
      </c>
      <c r="Q7" s="154">
        <v>1</v>
      </c>
      <c r="R7" s="155">
        <v>2.4</v>
      </c>
      <c r="S7" s="152">
        <v>1</v>
      </c>
      <c r="T7" s="154">
        <v>2</v>
      </c>
      <c r="U7" s="150">
        <v>340833.2671204264</v>
      </c>
      <c r="V7" s="150">
        <v>358147.59709014406</v>
      </c>
      <c r="W7" s="156">
        <v>859554.23301634577</v>
      </c>
    </row>
    <row r="8" spans="1:23">
      <c r="A8" s="139"/>
      <c r="B8" s="140"/>
      <c r="C8" s="157" t="s">
        <v>193</v>
      </c>
      <c r="D8" s="158"/>
      <c r="E8" s="159"/>
      <c r="F8" s="160" t="s">
        <v>194</v>
      </c>
      <c r="G8" s="161">
        <v>3</v>
      </c>
      <c r="H8" s="143"/>
      <c r="I8" s="162"/>
      <c r="J8" s="163">
        <v>2</v>
      </c>
      <c r="K8" s="164">
        <v>14714</v>
      </c>
      <c r="L8" s="149">
        <v>2010</v>
      </c>
      <c r="M8" s="150">
        <v>14714</v>
      </c>
      <c r="N8" s="151" t="s">
        <v>183</v>
      </c>
      <c r="O8" s="152">
        <v>59</v>
      </c>
      <c r="P8" s="153" t="s">
        <v>195</v>
      </c>
      <c r="Q8" s="154">
        <v>0.6</v>
      </c>
      <c r="R8" s="155">
        <v>2.2999999999999998</v>
      </c>
      <c r="S8" s="152">
        <v>50</v>
      </c>
      <c r="T8" s="154">
        <v>0.84745762711864403</v>
      </c>
      <c r="U8" s="150">
        <v>13322.985257381935</v>
      </c>
      <c r="V8" s="150">
        <v>12708.599226994314</v>
      </c>
      <c r="W8" s="156">
        <v>29229.778222086919</v>
      </c>
    </row>
    <row r="9" spans="1:23" ht="38" customHeight="1">
      <c r="A9" s="139"/>
      <c r="B9" s="140"/>
      <c r="C9" s="157" t="s">
        <v>196</v>
      </c>
      <c r="D9" s="158"/>
      <c r="E9" s="159"/>
      <c r="F9" s="160" t="s">
        <v>197</v>
      </c>
      <c r="G9" s="161"/>
      <c r="H9" s="143" t="s">
        <v>191</v>
      </c>
      <c r="I9" s="162"/>
      <c r="J9" s="163">
        <v>1</v>
      </c>
      <c r="K9" s="164">
        <v>587385.70890553552</v>
      </c>
      <c r="L9" s="149">
        <v>2009</v>
      </c>
      <c r="M9" s="150">
        <v>587385.70890553552</v>
      </c>
      <c r="N9" s="151" t="s">
        <v>183</v>
      </c>
      <c r="O9" s="152">
        <v>1</v>
      </c>
      <c r="P9" s="153" t="s">
        <v>192</v>
      </c>
      <c r="Q9" s="154">
        <v>0.6</v>
      </c>
      <c r="R9" s="155">
        <v>2.4</v>
      </c>
      <c r="S9" s="152">
        <v>1</v>
      </c>
      <c r="T9" s="154">
        <v>1</v>
      </c>
      <c r="U9" s="150">
        <v>587385.70890553552</v>
      </c>
      <c r="V9" s="150">
        <v>591324.87346037244</v>
      </c>
      <c r="W9" s="156">
        <v>1419179.6963048938</v>
      </c>
    </row>
    <row r="10" spans="1:23" ht="40" customHeight="1" thickBot="1">
      <c r="A10" s="167"/>
      <c r="B10" s="168"/>
      <c r="C10" s="169" t="s">
        <v>198</v>
      </c>
      <c r="D10" s="170"/>
      <c r="E10" s="171"/>
      <c r="F10" s="172" t="s">
        <v>199</v>
      </c>
      <c r="G10" s="173"/>
      <c r="H10" s="174" t="s">
        <v>191</v>
      </c>
      <c r="I10" s="175"/>
      <c r="J10" s="176">
        <v>1</v>
      </c>
      <c r="K10" s="177">
        <v>329803.23729920579</v>
      </c>
      <c r="L10" s="178">
        <v>2009</v>
      </c>
      <c r="M10" s="179">
        <v>329803.23729920579</v>
      </c>
      <c r="N10" s="180" t="s">
        <v>183</v>
      </c>
      <c r="O10" s="181">
        <v>1</v>
      </c>
      <c r="P10" s="182" t="s">
        <v>192</v>
      </c>
      <c r="Q10" s="183">
        <v>0.6</v>
      </c>
      <c r="R10" s="184">
        <v>2.4</v>
      </c>
      <c r="S10" s="181">
        <v>1</v>
      </c>
      <c r="T10" s="183">
        <v>1</v>
      </c>
      <c r="U10" s="179">
        <v>329803.23729920579</v>
      </c>
      <c r="V10" s="179">
        <v>332014.98539375881</v>
      </c>
      <c r="W10" s="185">
        <v>796835.96494502109</v>
      </c>
    </row>
  </sheetData>
  <mergeCells count="2">
    <mergeCell ref="A3:B3"/>
    <mergeCell ref="A1:W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 enableFormatConditionsCalculation="0">
    <pageSetUpPr fitToPage="1"/>
  </sheetPr>
  <dimension ref="A1:AA216"/>
  <sheetViews>
    <sheetView topLeftCell="A5" zoomScale="80" zoomScaleNormal="80" zoomScalePageLayoutView="80" workbookViewId="0">
      <selection activeCell="D37" sqref="D37"/>
    </sheetView>
  </sheetViews>
  <sheetFormatPr baseColWidth="10" defaultColWidth="8.83203125" defaultRowHeight="13" x14ac:dyDescent="0"/>
  <cols>
    <col min="1" max="1" width="12.5" style="98" customWidth="1"/>
    <col min="2" max="2" width="19.1640625" style="98" customWidth="1"/>
    <col min="3" max="3" width="20.6640625" style="100" customWidth="1"/>
    <col min="4" max="4" width="24" style="100" customWidth="1"/>
    <col min="5" max="5" width="11.6640625" style="101" customWidth="1"/>
    <col min="6" max="6" width="13.1640625" style="100" customWidth="1"/>
    <col min="7" max="7" width="12.6640625" style="101" bestFit="1" customWidth="1"/>
    <col min="8" max="8" width="12.5" style="101" customWidth="1"/>
    <col min="9" max="9" width="11.1640625" style="98" bestFit="1" customWidth="1"/>
    <col min="10" max="10" width="12.6640625" style="98" customWidth="1"/>
    <col min="11" max="11" width="11.1640625" style="98" customWidth="1"/>
    <col min="12" max="12" width="14.33203125" style="98" customWidth="1"/>
    <col min="13" max="13" width="14.1640625" style="98" customWidth="1"/>
    <col min="14" max="14" width="8.83203125" style="98"/>
    <col min="15" max="15" width="9.1640625" style="98" bestFit="1" customWidth="1"/>
    <col min="16" max="27" width="8.83203125" style="98"/>
    <col min="28" max="16384" width="8.83203125" style="102"/>
  </cols>
  <sheetData>
    <row r="1" spans="1:27" ht="26" hidden="1">
      <c r="A1" s="98" t="s">
        <v>132</v>
      </c>
      <c r="B1" s="99" t="s">
        <v>133</v>
      </c>
    </row>
    <row r="2" spans="1:27" ht="39" hidden="1">
      <c r="A2" s="98" t="s">
        <v>134</v>
      </c>
      <c r="B2" s="100" t="e">
        <v>#REF!</v>
      </c>
      <c r="D2" s="103"/>
      <c r="E2" s="104"/>
      <c r="F2" s="105"/>
      <c r="G2" s="106"/>
      <c r="H2" s="107"/>
      <c r="I2" s="108"/>
      <c r="J2" s="109"/>
    </row>
    <row r="3" spans="1:27" ht="38.25" hidden="1" customHeight="1">
      <c r="A3" s="98" t="s">
        <v>135</v>
      </c>
      <c r="B3" s="110" t="e">
        <v>#REF!</v>
      </c>
      <c r="D3" s="98" t="s">
        <v>136</v>
      </c>
      <c r="E3" s="111" t="e">
        <f>#REF!*2.20462*(1-#REF!)*#REF!/2000</f>
        <v>#REF!</v>
      </c>
      <c r="F3" s="100" t="s">
        <v>137</v>
      </c>
      <c r="G3" s="101" t="e">
        <f>(#REF!+#REF!)*2.20462*(1-#REF!)*#REF!/2000</f>
        <v>#REF!</v>
      </c>
    </row>
    <row r="4" spans="1:27" hidden="1">
      <c r="D4" s="98" t="s">
        <v>138</v>
      </c>
      <c r="E4" s="111" t="e">
        <f>B3*1000000/E3</f>
        <v>#REF!</v>
      </c>
    </row>
    <row r="5" spans="1:27" s="246" customFormat="1" ht="21" customHeight="1" thickBot="1">
      <c r="A5" s="263" t="s">
        <v>396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</row>
    <row r="6" spans="1:27" ht="17" thickBot="1">
      <c r="A6" s="112" t="s">
        <v>139</v>
      </c>
      <c r="B6" s="113"/>
      <c r="C6" s="114"/>
      <c r="D6" s="114"/>
      <c r="E6" s="114"/>
      <c r="F6" s="115"/>
      <c r="G6" s="114"/>
      <c r="H6" s="115"/>
      <c r="I6" s="115"/>
      <c r="J6" s="113"/>
      <c r="K6" s="113"/>
      <c r="L6" s="113"/>
      <c r="M6" s="116" t="s">
        <v>87</v>
      </c>
    </row>
    <row r="7" spans="1:27" s="124" customFormat="1" ht="40" thickBot="1">
      <c r="A7" s="117"/>
      <c r="B7" s="118" t="s">
        <v>140</v>
      </c>
      <c r="C7" s="119" t="s">
        <v>141</v>
      </c>
      <c r="D7" s="119" t="s">
        <v>142</v>
      </c>
      <c r="E7" s="120" t="s">
        <v>143</v>
      </c>
      <c r="F7" s="120" t="s">
        <v>144</v>
      </c>
      <c r="G7" s="120" t="s">
        <v>145</v>
      </c>
      <c r="H7" s="119" t="s">
        <v>146</v>
      </c>
      <c r="I7" s="121" t="str">
        <f>costyear &amp; " Cost ($ / ton)"</f>
        <v>2007 Cost ($ / ton)</v>
      </c>
      <c r="J7" s="121" t="str">
        <f>costyear &amp; " Cost ($/lb)"</f>
        <v>2007 Cost ($/lb)</v>
      </c>
      <c r="K7" s="120" t="s">
        <v>147</v>
      </c>
      <c r="L7" s="121" t="str">
        <f>"MM$/yr ("&amp;costyear&amp;")"</f>
        <v>MM$/yr (2007)</v>
      </c>
      <c r="M7" s="122" t="str">
        <f>"Cents/Gallon Ethanol ("&amp;costyear&amp;")"</f>
        <v>Cents/Gallon Ethanol (2007)</v>
      </c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</row>
    <row r="8" spans="1:27" s="124" customFormat="1" ht="13.5" customHeight="1" thickBot="1">
      <c r="A8" s="259" t="s">
        <v>148</v>
      </c>
      <c r="B8" s="260"/>
      <c r="C8" s="260"/>
      <c r="D8" s="260"/>
      <c r="E8" s="260"/>
      <c r="F8" s="260"/>
      <c r="G8" s="260"/>
      <c r="H8" s="260"/>
      <c r="I8" s="260"/>
      <c r="J8" s="261"/>
      <c r="K8" s="260"/>
      <c r="L8" s="260"/>
      <c r="M8" s="262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</row>
    <row r="9" spans="1:27">
      <c r="A9" s="268"/>
      <c r="B9" s="125"/>
      <c r="C9" s="125" t="s">
        <v>149</v>
      </c>
      <c r="D9" s="269" t="s">
        <v>150</v>
      </c>
      <c r="E9" s="270">
        <v>1746</v>
      </c>
      <c r="F9" s="270">
        <v>3849.9300000000003</v>
      </c>
      <c r="G9" s="271">
        <v>86634</v>
      </c>
      <c r="H9" s="271">
        <v>2017</v>
      </c>
      <c r="I9" s="272">
        <v>864.43092111062151</v>
      </c>
      <c r="J9" s="273">
        <v>0.43221546055531074</v>
      </c>
      <c r="K9" s="274">
        <v>1663.9992680557075</v>
      </c>
      <c r="L9" s="275">
        <v>13.9942338443485</v>
      </c>
      <c r="M9" s="276">
        <v>22.931618804619678</v>
      </c>
    </row>
    <row r="10" spans="1:27">
      <c r="A10" s="277"/>
      <c r="B10" s="126"/>
      <c r="C10" s="126" t="s">
        <v>151</v>
      </c>
      <c r="D10" s="278" t="s">
        <v>150</v>
      </c>
      <c r="E10" s="279">
        <v>745</v>
      </c>
      <c r="F10" s="279">
        <v>1642.7250000000001</v>
      </c>
      <c r="G10" s="280">
        <v>140200</v>
      </c>
      <c r="H10" s="280">
        <v>2017</v>
      </c>
      <c r="I10" s="272">
        <v>1398.9105332745703</v>
      </c>
      <c r="J10" s="281">
        <v>0.69945526663728519</v>
      </c>
      <c r="K10" s="282">
        <v>1149.0126528867345</v>
      </c>
      <c r="L10" s="272">
        <v>9.6631964107774362</v>
      </c>
      <c r="M10" s="283">
        <v>15.834574367614012</v>
      </c>
    </row>
    <row r="11" spans="1:27" ht="13" customHeight="1">
      <c r="A11" s="284" t="s">
        <v>395</v>
      </c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6"/>
    </row>
    <row r="12" spans="1:27">
      <c r="A12" s="268"/>
      <c r="B12" s="125"/>
      <c r="C12" s="125" t="s">
        <v>153</v>
      </c>
      <c r="D12" s="287" t="s">
        <v>150</v>
      </c>
      <c r="E12" s="271">
        <v>169</v>
      </c>
      <c r="F12" s="270" t="s">
        <v>143</v>
      </c>
      <c r="G12" s="288" t="s">
        <v>152</v>
      </c>
      <c r="H12" s="271">
        <v>2007</v>
      </c>
      <c r="I12" s="289" t="s">
        <v>154</v>
      </c>
      <c r="J12" s="273">
        <v>5.058827677390922</v>
      </c>
      <c r="K12" s="274">
        <v>854.94187747906585</v>
      </c>
      <c r="L12" s="275">
        <v>7.4944204979814915</v>
      </c>
      <c r="M12" s="276">
        <v>12.280714752429551</v>
      </c>
    </row>
    <row r="13" spans="1:27">
      <c r="A13" s="290"/>
      <c r="B13" s="291"/>
      <c r="C13" s="291" t="s">
        <v>155</v>
      </c>
      <c r="D13" s="292" t="s">
        <v>150</v>
      </c>
      <c r="E13" s="293">
        <v>1877</v>
      </c>
      <c r="F13" s="293" t="s">
        <v>143</v>
      </c>
      <c r="G13" s="294" t="s">
        <v>152</v>
      </c>
      <c r="H13" s="295">
        <v>2007</v>
      </c>
      <c r="I13" s="296" t="s">
        <v>154</v>
      </c>
      <c r="J13" s="297">
        <v>2.8836315557514327</v>
      </c>
      <c r="K13" s="298">
        <v>5412.5764301454392</v>
      </c>
      <c r="L13" s="299">
        <v>47.44664498665491</v>
      </c>
      <c r="M13" s="300">
        <v>77.748334670817613</v>
      </c>
    </row>
    <row r="14" spans="1:27" s="98" customFormat="1"/>
    <row r="15" spans="1:27" s="98" customFormat="1">
      <c r="B15" s="123"/>
      <c r="L15" s="127"/>
    </row>
    <row r="16" spans="1:27" s="98" customFormat="1">
      <c r="L16" s="127"/>
    </row>
    <row r="17" spans="12:12" s="98" customFormat="1">
      <c r="L17" s="127"/>
    </row>
    <row r="18" spans="12:12" s="98" customFormat="1">
      <c r="L18" s="127"/>
    </row>
    <row r="19" spans="12:12" s="98" customFormat="1">
      <c r="L19" s="127"/>
    </row>
    <row r="20" spans="12:12" s="98" customFormat="1"/>
    <row r="21" spans="12:12" s="98" customFormat="1"/>
    <row r="22" spans="12:12" s="98" customFormat="1"/>
    <row r="23" spans="12:12" s="98" customFormat="1"/>
    <row r="24" spans="12:12" s="98" customFormat="1"/>
    <row r="25" spans="12:12" s="98" customFormat="1"/>
    <row r="26" spans="12:12" s="98" customFormat="1"/>
    <row r="27" spans="12:12" s="98" customFormat="1"/>
    <row r="28" spans="12:12" s="98" customFormat="1"/>
    <row r="29" spans="12:12" s="98" customFormat="1"/>
    <row r="30" spans="12:12" s="98" customFormat="1"/>
    <row r="31" spans="12:12" s="98" customFormat="1"/>
    <row r="32" spans="12:12" s="98" customFormat="1"/>
    <row r="33" s="98" customFormat="1"/>
    <row r="34" s="98" customFormat="1"/>
    <row r="35" s="98" customFormat="1"/>
    <row r="36" s="98" customFormat="1"/>
    <row r="37" s="98" customFormat="1"/>
    <row r="38" s="98" customFormat="1"/>
    <row r="39" s="98" customFormat="1"/>
    <row r="40" s="98" customFormat="1"/>
    <row r="41" s="98" customFormat="1"/>
    <row r="42" s="98" customFormat="1"/>
    <row r="43" s="98" customFormat="1"/>
    <row r="44" s="98" customFormat="1"/>
    <row r="45" s="98" customFormat="1"/>
    <row r="46" s="98" customFormat="1"/>
    <row r="47" s="98" customFormat="1"/>
    <row r="48" s="98" customFormat="1"/>
    <row r="49" s="98" customFormat="1"/>
    <row r="50" s="98" customFormat="1"/>
    <row r="51" s="98" customFormat="1"/>
    <row r="52" s="98" customFormat="1"/>
    <row r="53" s="98" customFormat="1"/>
    <row r="54" s="98" customFormat="1"/>
    <row r="55" s="98" customFormat="1"/>
    <row r="56" s="98" customFormat="1"/>
    <row r="57" s="98" customFormat="1"/>
    <row r="58" s="98" customFormat="1"/>
    <row r="59" s="98" customFormat="1"/>
    <row r="60" s="98" customFormat="1"/>
    <row r="61" s="98" customFormat="1"/>
    <row r="62" s="98" customFormat="1"/>
    <row r="63" s="98" customFormat="1"/>
    <row r="64" s="98" customFormat="1"/>
    <row r="65" s="98" customFormat="1"/>
    <row r="66" s="98" customFormat="1"/>
    <row r="67" s="98" customFormat="1"/>
    <row r="68" s="98" customFormat="1"/>
    <row r="69" s="98" customFormat="1"/>
    <row r="70" s="98" customFormat="1"/>
    <row r="71" s="98" customFormat="1"/>
    <row r="72" s="98" customFormat="1"/>
    <row r="73" s="98" customFormat="1"/>
    <row r="74" s="98" customFormat="1"/>
    <row r="75" s="98" customFormat="1"/>
    <row r="76" s="98" customFormat="1"/>
    <row r="77" s="98" customFormat="1"/>
    <row r="78" s="98" customFormat="1"/>
    <row r="79" s="98" customFormat="1"/>
    <row r="80" s="98" customFormat="1"/>
    <row r="81" s="98" customFormat="1"/>
    <row r="82" s="98" customFormat="1"/>
    <row r="83" s="98" customFormat="1"/>
    <row r="84" s="98" customFormat="1"/>
    <row r="85" s="98" customFormat="1"/>
    <row r="86" s="98" customFormat="1"/>
    <row r="87" s="98" customFormat="1"/>
    <row r="88" s="98" customFormat="1"/>
    <row r="89" s="98" customFormat="1"/>
    <row r="90" s="98" customFormat="1"/>
    <row r="91" s="98" customFormat="1"/>
    <row r="92" s="98" customFormat="1"/>
    <row r="93" s="98" customFormat="1"/>
    <row r="94" s="98" customFormat="1"/>
    <row r="95" s="98" customFormat="1"/>
    <row r="96" s="98" customFormat="1"/>
    <row r="97" s="98" customFormat="1"/>
    <row r="98" s="98" customFormat="1"/>
    <row r="99" s="98" customFormat="1"/>
    <row r="100" s="98" customFormat="1"/>
    <row r="101" s="98" customFormat="1"/>
    <row r="102" s="98" customFormat="1"/>
    <row r="103" s="98" customFormat="1"/>
    <row r="104" s="98" customFormat="1"/>
    <row r="105" s="98" customFormat="1"/>
    <row r="106" s="98" customFormat="1"/>
    <row r="107" s="98" customFormat="1"/>
    <row r="108" s="98" customFormat="1"/>
    <row r="109" s="98" customFormat="1"/>
    <row r="110" s="98" customFormat="1"/>
    <row r="111" s="98" customFormat="1"/>
    <row r="112" s="98" customFormat="1"/>
    <row r="113" s="98" customFormat="1"/>
    <row r="114" s="98" customFormat="1"/>
    <row r="115" s="98" customFormat="1"/>
    <row r="116" s="98" customFormat="1"/>
    <row r="117" s="98" customFormat="1"/>
    <row r="118" s="98" customFormat="1"/>
    <row r="119" s="98" customFormat="1"/>
    <row r="120" s="98" customFormat="1"/>
    <row r="121" s="98" customFormat="1"/>
    <row r="122" s="98" customFormat="1"/>
    <row r="123" s="98" customFormat="1"/>
    <row r="124" s="98" customFormat="1"/>
    <row r="125" s="98" customFormat="1"/>
    <row r="126" s="98" customFormat="1"/>
    <row r="127" s="98" customFormat="1"/>
    <row r="128" s="98" customFormat="1"/>
    <row r="129" s="98" customFormat="1"/>
    <row r="130" s="98" customFormat="1"/>
    <row r="131" s="98" customFormat="1"/>
    <row r="132" s="98" customFormat="1"/>
    <row r="133" s="98" customFormat="1"/>
    <row r="134" s="98" customFormat="1"/>
    <row r="135" s="98" customFormat="1"/>
    <row r="136" s="98" customFormat="1"/>
    <row r="137" s="98" customFormat="1"/>
    <row r="138" s="98" customFormat="1"/>
    <row r="139" s="98" customFormat="1"/>
    <row r="140" s="98" customFormat="1"/>
    <row r="141" s="98" customFormat="1"/>
    <row r="142" s="98" customFormat="1"/>
    <row r="143" s="98" customFormat="1"/>
    <row r="144" s="98" customFormat="1"/>
    <row r="145" s="98" customFormat="1"/>
    <row r="146" s="98" customFormat="1"/>
    <row r="147" s="98" customFormat="1"/>
    <row r="148" s="98" customFormat="1"/>
    <row r="149" s="98" customFormat="1"/>
    <row r="150" s="98" customFormat="1"/>
    <row r="151" s="98" customFormat="1"/>
    <row r="152" s="98" customFormat="1"/>
    <row r="153" s="98" customFormat="1"/>
    <row r="154" s="98" customFormat="1"/>
    <row r="155" s="98" customFormat="1"/>
    <row r="156" s="98" customFormat="1"/>
    <row r="157" s="98" customFormat="1"/>
    <row r="158" s="98" customFormat="1"/>
    <row r="159" s="98" customFormat="1"/>
    <row r="160" s="98" customFormat="1"/>
    <row r="161" s="98" customFormat="1"/>
    <row r="162" s="98" customFormat="1"/>
    <row r="163" s="98" customFormat="1"/>
    <row r="164" s="98" customFormat="1"/>
    <row r="165" s="98" customFormat="1"/>
    <row r="166" s="98" customFormat="1"/>
    <row r="167" s="98" customFormat="1"/>
    <row r="168" s="98" customFormat="1"/>
    <row r="169" s="98" customFormat="1"/>
    <row r="170" s="98" customFormat="1"/>
    <row r="171" s="98" customFormat="1"/>
    <row r="172" s="98" customFormat="1"/>
    <row r="173" s="98" customFormat="1"/>
    <row r="174" s="98" customFormat="1"/>
    <row r="175" s="98" customFormat="1"/>
    <row r="176" s="98" customFormat="1"/>
    <row r="177" s="98" customFormat="1"/>
    <row r="178" s="98" customFormat="1"/>
    <row r="179" s="98" customFormat="1"/>
    <row r="180" s="98" customFormat="1"/>
    <row r="181" s="98" customFormat="1"/>
    <row r="182" s="98" customFormat="1"/>
    <row r="183" s="98" customFormat="1"/>
    <row r="184" s="98" customFormat="1"/>
    <row r="185" s="98" customFormat="1"/>
    <row r="186" s="98" customFormat="1"/>
    <row r="187" s="98" customFormat="1"/>
    <row r="188" s="98" customFormat="1"/>
    <row r="189" s="98" customFormat="1"/>
    <row r="190" s="98" customFormat="1"/>
    <row r="191" s="98" customFormat="1"/>
    <row r="192" s="98" customFormat="1"/>
    <row r="193" s="98" customFormat="1"/>
    <row r="194" s="98" customFormat="1"/>
    <row r="195" s="98" customFormat="1"/>
    <row r="196" s="98" customFormat="1"/>
    <row r="197" s="98" customFormat="1"/>
    <row r="198" s="98" customFormat="1"/>
    <row r="199" s="98" customFormat="1"/>
    <row r="200" s="98" customFormat="1"/>
    <row r="201" s="98" customFormat="1"/>
    <row r="202" s="98" customFormat="1"/>
    <row r="203" s="98" customFormat="1"/>
    <row r="204" s="98" customFormat="1"/>
    <row r="205" s="98" customFormat="1"/>
    <row r="206" s="98" customFormat="1"/>
    <row r="207" s="98" customFormat="1"/>
    <row r="208" s="98" customFormat="1"/>
    <row r="209" s="98" customFormat="1"/>
    <row r="210" s="98" customFormat="1"/>
    <row r="211" s="98" customFormat="1"/>
    <row r="212" s="98" customFormat="1"/>
    <row r="213" s="98" customFormat="1"/>
    <row r="214" s="98" customFormat="1"/>
    <row r="215" s="98" customFormat="1"/>
    <row r="216" s="98" customFormat="1"/>
  </sheetData>
  <mergeCells count="3">
    <mergeCell ref="A8:M8"/>
    <mergeCell ref="A5:M5"/>
    <mergeCell ref="A11:M11"/>
  </mergeCells>
  <printOptions gridLines="1" gridLinesSet="0"/>
  <pageMargins left="0.75" right="0.28000000000000003" top="0.87" bottom="0.59" header="0.5" footer="0.5"/>
  <pageSetup scale="25" orientation="portrait" horizontalDpi="4294967292" verticalDpi="4294967292"/>
  <headerFooter>
    <oddHeader>&amp;L&amp;"Courier,Bold"NREL Protected Information&amp;C&amp;D&amp;R&amp;A</oddHead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 enableFormatConditionsCalculation="0">
    <pageSetUpPr fitToPage="1"/>
  </sheetPr>
  <dimension ref="A1:BG125"/>
  <sheetViews>
    <sheetView showGridLines="0" zoomScale="80" zoomScaleNormal="80" zoomScalePageLayoutView="80" workbookViewId="0"/>
  </sheetViews>
  <sheetFormatPr baseColWidth="10" defaultColWidth="8.83203125" defaultRowHeight="13" x14ac:dyDescent="0"/>
  <cols>
    <col min="1" max="1" width="42.33203125" style="6" customWidth="1"/>
    <col min="2" max="2" width="17.6640625" style="6" customWidth="1"/>
    <col min="3" max="3" width="17.83203125" style="6" customWidth="1"/>
    <col min="4" max="4" width="17.6640625" style="6" customWidth="1"/>
    <col min="5" max="8" width="15.6640625" style="6" customWidth="1"/>
    <col min="9" max="9" width="14.83203125" style="6" bestFit="1" customWidth="1"/>
    <col min="10" max="10" width="17.33203125" style="6" customWidth="1"/>
    <col min="11" max="11" width="16.83203125" style="6" customWidth="1"/>
    <col min="12" max="12" width="17.1640625" style="6" customWidth="1"/>
    <col min="13" max="13" width="15.6640625" style="6" customWidth="1"/>
    <col min="14" max="14" width="17.6640625" style="6" customWidth="1"/>
    <col min="15" max="19" width="15.6640625" style="6" customWidth="1"/>
    <col min="20" max="20" width="16.83203125" style="6" customWidth="1"/>
    <col min="21" max="21" width="17.6640625" style="6" customWidth="1"/>
    <col min="22" max="66" width="15.6640625" style="6" customWidth="1"/>
    <col min="67" max="16384" width="8.83203125" style="6"/>
  </cols>
  <sheetData>
    <row r="1" spans="1:57" ht="17">
      <c r="A1" s="301" t="s">
        <v>397</v>
      </c>
    </row>
    <row r="2" spans="1:57" s="10" customFormat="1" ht="19" thickBot="1">
      <c r="A2" s="1"/>
      <c r="B2" s="2"/>
      <c r="C2" s="3"/>
      <c r="D2" s="4"/>
      <c r="E2" s="5"/>
      <c r="F2" s="6"/>
      <c r="G2" s="7" t="s">
        <v>3</v>
      </c>
      <c r="H2" s="8"/>
      <c r="I2" s="9"/>
      <c r="J2" s="8"/>
      <c r="K2" s="8"/>
      <c r="L2" s="9"/>
      <c r="M2" s="8"/>
      <c r="N2" s="9"/>
      <c r="O2" s="9"/>
      <c r="P2" s="9"/>
      <c r="Q2" s="7" t="s">
        <v>4</v>
      </c>
      <c r="R2" s="8"/>
      <c r="S2" s="9"/>
      <c r="T2" s="8"/>
      <c r="U2" s="8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</row>
    <row r="3" spans="1:57" s="10" customFormat="1" ht="14" thickBot="1">
      <c r="A3" s="3"/>
      <c r="B3" s="3"/>
      <c r="C3" s="3"/>
      <c r="D3" s="4"/>
      <c r="E3" s="5"/>
      <c r="F3" s="6"/>
      <c r="G3" s="11" t="s">
        <v>5</v>
      </c>
      <c r="H3" s="12"/>
      <c r="I3" s="12"/>
      <c r="J3" s="13" t="s">
        <v>6</v>
      </c>
      <c r="K3" s="14" t="s">
        <v>7</v>
      </c>
      <c r="L3" s="9"/>
      <c r="M3" s="8"/>
      <c r="N3" s="8"/>
      <c r="O3" s="9"/>
      <c r="P3" s="9"/>
      <c r="Q3" s="11" t="s">
        <v>5</v>
      </c>
      <c r="R3" s="12"/>
      <c r="S3" s="12"/>
      <c r="T3" s="13" t="s">
        <v>6</v>
      </c>
      <c r="U3" s="14" t="s">
        <v>7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</row>
    <row r="4" spans="1:57" s="10" customFormat="1">
      <c r="A4" s="15" t="s">
        <v>8</v>
      </c>
      <c r="B4" s="15" t="s">
        <v>9</v>
      </c>
      <c r="C4" s="15"/>
      <c r="D4" s="2" t="s">
        <v>10</v>
      </c>
      <c r="E4" s="5"/>
      <c r="F4" s="6"/>
      <c r="G4" s="16" t="s">
        <v>11</v>
      </c>
      <c r="H4" s="17"/>
      <c r="I4" s="17"/>
      <c r="J4" s="18">
        <v>14208831.025516467</v>
      </c>
      <c r="K4" s="19">
        <v>24155012.743377995</v>
      </c>
      <c r="L4" s="9"/>
      <c r="M4" s="8"/>
      <c r="N4" s="20"/>
      <c r="O4" s="9"/>
      <c r="P4" s="9"/>
      <c r="Q4" s="16" t="s">
        <v>11</v>
      </c>
      <c r="R4" s="17"/>
      <c r="S4" s="17"/>
      <c r="T4" s="18">
        <v>14200000</v>
      </c>
      <c r="U4" s="19">
        <v>24200000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</row>
    <row r="5" spans="1:57" s="10" customFormat="1">
      <c r="A5" s="21" t="s">
        <v>12</v>
      </c>
      <c r="B5" s="22">
        <v>418465685.06085759</v>
      </c>
      <c r="C5" s="21"/>
      <c r="D5" s="23">
        <v>132</v>
      </c>
      <c r="E5" s="5" t="s">
        <v>13</v>
      </c>
      <c r="F5" s="6"/>
      <c r="G5" s="16" t="s">
        <v>14</v>
      </c>
      <c r="H5" s="17"/>
      <c r="I5" s="17"/>
      <c r="J5" s="18">
        <v>19945315.079949375</v>
      </c>
      <c r="K5" s="24">
        <v>29917972.619924061</v>
      </c>
      <c r="L5" s="9"/>
      <c r="M5" s="9"/>
      <c r="N5" s="20"/>
      <c r="O5" s="9"/>
      <c r="P5" s="9"/>
      <c r="Q5" s="16" t="s">
        <v>14</v>
      </c>
      <c r="R5" s="17"/>
      <c r="S5" s="17"/>
      <c r="T5" s="18">
        <v>19900000</v>
      </c>
      <c r="U5" s="24">
        <v>29900000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</row>
    <row r="6" spans="1:57" s="10" customFormat="1">
      <c r="A6" s="21" t="s">
        <v>15</v>
      </c>
      <c r="B6" s="22">
        <v>352654558.13709879</v>
      </c>
      <c r="C6" s="21"/>
      <c r="D6" s="25">
        <v>14000</v>
      </c>
      <c r="E6" s="26" t="s">
        <v>16</v>
      </c>
      <c r="F6" s="6"/>
      <c r="G6" s="16" t="s">
        <v>17</v>
      </c>
      <c r="H6" s="17"/>
      <c r="I6" s="17"/>
      <c r="J6" s="18">
        <v>1539035.0818810947</v>
      </c>
      <c r="K6" s="24">
        <v>3039222.489656996</v>
      </c>
      <c r="L6" s="27" t="s">
        <v>18</v>
      </c>
      <c r="M6" s="28">
        <v>32957195.109581057</v>
      </c>
      <c r="N6" s="20"/>
      <c r="O6" s="9"/>
      <c r="P6" s="9"/>
      <c r="Q6" s="16" t="s">
        <v>17</v>
      </c>
      <c r="R6" s="17"/>
      <c r="S6" s="17"/>
      <c r="T6" s="18">
        <v>1500000</v>
      </c>
      <c r="U6" s="24">
        <v>3000000</v>
      </c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</row>
    <row r="7" spans="1:57" s="10" customFormat="1">
      <c r="A7" s="21" t="s">
        <v>19</v>
      </c>
      <c r="B7" s="22">
        <v>65811126.923758835</v>
      </c>
      <c r="C7" s="21"/>
      <c r="D7" s="2"/>
      <c r="E7" s="5"/>
      <c r="F7" s="6"/>
      <c r="G7" s="16" t="s">
        <v>20</v>
      </c>
      <c r="H7" s="17"/>
      <c r="I7" s="17"/>
      <c r="J7" s="18">
        <v>18512077.750534452</v>
      </c>
      <c r="K7" s="24">
        <v>31269717.12916977</v>
      </c>
      <c r="L7" s="9"/>
      <c r="M7" s="8"/>
      <c r="N7" s="20"/>
      <c r="O7" s="9"/>
      <c r="P7" s="9"/>
      <c r="Q7" s="16" t="s">
        <v>20</v>
      </c>
      <c r="R7" s="17"/>
      <c r="S7" s="17"/>
      <c r="T7" s="18">
        <v>18500000</v>
      </c>
      <c r="U7" s="24">
        <v>31300000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</row>
    <row r="8" spans="1:57" s="10" customFormat="1">
      <c r="A8" s="21"/>
      <c r="B8" s="22"/>
      <c r="C8" s="21"/>
      <c r="D8" s="2"/>
      <c r="E8" s="5"/>
      <c r="F8" s="6"/>
      <c r="G8" s="16" t="s">
        <v>21</v>
      </c>
      <c r="H8" s="17"/>
      <c r="I8" s="17"/>
      <c r="J8" s="18">
        <v>10959069.816696316</v>
      </c>
      <c r="K8" s="24">
        <v>18736264.417740807</v>
      </c>
      <c r="L8" s="9"/>
      <c r="M8" s="8"/>
      <c r="N8" s="20"/>
      <c r="O8" s="9"/>
      <c r="P8" s="9"/>
      <c r="Q8" s="16" t="s">
        <v>21</v>
      </c>
      <c r="R8" s="17"/>
      <c r="S8" s="17"/>
      <c r="T8" s="18">
        <v>11000000</v>
      </c>
      <c r="U8" s="24">
        <v>18700000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</row>
    <row r="9" spans="1:57" s="10" customFormat="1">
      <c r="A9" s="21" t="s">
        <v>22</v>
      </c>
      <c r="B9" s="29">
        <v>0.4</v>
      </c>
      <c r="C9" s="21"/>
      <c r="D9" s="2"/>
      <c r="E9" s="5"/>
      <c r="F9" s="6"/>
      <c r="G9" s="16" t="s">
        <v>23</v>
      </c>
      <c r="H9" s="17"/>
      <c r="I9" s="17"/>
      <c r="J9" s="18">
        <v>11132415.365829619</v>
      </c>
      <c r="K9" s="24">
        <v>22317746.4752075</v>
      </c>
      <c r="L9" s="27" t="s">
        <v>24</v>
      </c>
      <c r="M9" s="30">
        <v>105280923.13169914</v>
      </c>
      <c r="N9" s="20"/>
      <c r="O9" s="9"/>
      <c r="P9" s="9"/>
      <c r="Q9" s="16" t="s">
        <v>23</v>
      </c>
      <c r="R9" s="17"/>
      <c r="S9" s="17"/>
      <c r="T9" s="18">
        <v>11100000</v>
      </c>
      <c r="U9" s="24">
        <v>22300000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</row>
    <row r="10" spans="1:57" s="10" customFormat="1">
      <c r="A10" s="21" t="s">
        <v>25</v>
      </c>
      <c r="B10" s="31">
        <v>0.08</v>
      </c>
      <c r="C10" s="21"/>
      <c r="D10" s="2"/>
      <c r="E10" s="5"/>
      <c r="F10" s="6"/>
      <c r="G10" s="16" t="s">
        <v>26</v>
      </c>
      <c r="H10" s="17"/>
      <c r="I10" s="17"/>
      <c r="J10" s="18">
        <v>58382502.477564409</v>
      </c>
      <c r="K10" s="24">
        <v>60193106.094881482</v>
      </c>
      <c r="L10" s="9"/>
      <c r="M10" s="8"/>
      <c r="N10" s="20"/>
      <c r="O10" s="9"/>
      <c r="P10" s="9"/>
      <c r="Q10" s="16" t="s">
        <v>26</v>
      </c>
      <c r="R10" s="17"/>
      <c r="S10" s="17"/>
      <c r="T10" s="18">
        <v>58400000</v>
      </c>
      <c r="U10" s="24">
        <v>60200000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</row>
    <row r="11" spans="1:57" s="10" customFormat="1">
      <c r="A11" s="21" t="s">
        <v>27</v>
      </c>
      <c r="B11" s="32">
        <v>10</v>
      </c>
      <c r="C11" s="21"/>
      <c r="D11" s="2"/>
      <c r="E11" s="5"/>
      <c r="F11" s="6"/>
      <c r="G11" s="16" t="s">
        <v>28</v>
      </c>
      <c r="H11" s="17"/>
      <c r="I11" s="17"/>
      <c r="J11" s="18">
        <v>2826617.8649316616</v>
      </c>
      <c r="K11" s="24">
        <v>4952924.785068322</v>
      </c>
      <c r="L11" s="9"/>
      <c r="M11" s="8"/>
      <c r="N11" s="20"/>
      <c r="O11" s="9"/>
      <c r="P11" s="9"/>
      <c r="Q11" s="16" t="s">
        <v>28</v>
      </c>
      <c r="R11" s="17"/>
      <c r="S11" s="17"/>
      <c r="T11" s="18">
        <v>2800000</v>
      </c>
      <c r="U11" s="24">
        <v>5000000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</row>
    <row r="12" spans="1:57" s="10" customFormat="1">
      <c r="A12" s="21" t="s">
        <v>29</v>
      </c>
      <c r="B12" s="33">
        <v>37418236.2491346</v>
      </c>
      <c r="C12" s="21"/>
      <c r="D12" s="6"/>
      <c r="E12" s="6"/>
      <c r="F12" s="6"/>
      <c r="G12" s="16" t="s">
        <v>30</v>
      </c>
      <c r="H12" s="17"/>
      <c r="I12" s="17"/>
      <c r="J12" s="18">
        <v>36359470.292067736</v>
      </c>
      <c r="K12" s="24">
        <v>65811126.923758835</v>
      </c>
      <c r="L12" s="9"/>
      <c r="M12" s="8"/>
      <c r="N12" s="20"/>
      <c r="O12" s="9"/>
      <c r="P12" s="9"/>
      <c r="Q12" s="16" t="s">
        <v>30</v>
      </c>
      <c r="R12" s="17"/>
      <c r="S12" s="17"/>
      <c r="T12" s="18">
        <v>36400000</v>
      </c>
      <c r="U12" s="24">
        <v>65800000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</row>
    <row r="13" spans="1:57" s="10" customFormat="1" ht="14" thickBot="1">
      <c r="A13" s="9" t="s">
        <v>31</v>
      </c>
      <c r="B13" s="9"/>
      <c r="C13" s="2" t="s">
        <v>32</v>
      </c>
      <c r="D13" s="34">
        <v>4320</v>
      </c>
      <c r="E13" s="6"/>
      <c r="F13" s="6"/>
      <c r="G13" s="16" t="s">
        <v>33</v>
      </c>
      <c r="H13" s="17"/>
      <c r="I13" s="17"/>
      <c r="J13" s="18">
        <v>3977798.3487931569</v>
      </c>
      <c r="K13" s="24">
        <v>6878810.6795808561</v>
      </c>
      <c r="L13" s="9"/>
      <c r="M13" s="8"/>
      <c r="N13" s="20"/>
      <c r="O13" s="9"/>
      <c r="P13" s="9"/>
      <c r="Q13" s="16" t="s">
        <v>33</v>
      </c>
      <c r="R13" s="17"/>
      <c r="S13" s="17"/>
      <c r="T13" s="18">
        <v>4000000</v>
      </c>
      <c r="U13" s="24">
        <v>6900000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</row>
    <row r="14" spans="1:57" s="10" customFormat="1" ht="14" thickBot="1">
      <c r="A14" s="21" t="s">
        <v>34</v>
      </c>
      <c r="B14" s="33">
        <v>466182.90115532733</v>
      </c>
      <c r="C14" s="2" t="s">
        <v>35</v>
      </c>
      <c r="D14" s="35">
        <v>80</v>
      </c>
      <c r="E14" s="6"/>
      <c r="F14" s="6"/>
      <c r="G14" s="36" t="s">
        <v>36</v>
      </c>
      <c r="H14" s="37"/>
      <c r="I14" s="37"/>
      <c r="J14" s="38">
        <v>163634302.07824779</v>
      </c>
      <c r="K14" s="39">
        <v>243116891.61498865</v>
      </c>
      <c r="L14" s="9"/>
      <c r="M14" s="8"/>
      <c r="N14" s="8"/>
      <c r="O14" s="9"/>
      <c r="P14" s="9"/>
      <c r="Q14" s="36" t="s">
        <v>36</v>
      </c>
      <c r="R14" s="37"/>
      <c r="S14" s="37"/>
      <c r="T14" s="38">
        <v>163600000</v>
      </c>
      <c r="U14" s="39">
        <v>243100000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</row>
    <row r="15" spans="1:57" s="10" customFormat="1">
      <c r="A15" s="9"/>
      <c r="B15" s="9"/>
      <c r="C15" s="2" t="s">
        <v>37</v>
      </c>
      <c r="D15" s="34">
        <v>1998</v>
      </c>
      <c r="E15" s="6"/>
      <c r="F15" s="6"/>
      <c r="G15" s="40" t="s">
        <v>38</v>
      </c>
      <c r="H15" s="17"/>
      <c r="I15" s="41">
        <v>0.04</v>
      </c>
      <c r="J15" s="42" t="s">
        <v>39</v>
      </c>
      <c r="K15" s="24">
        <v>4211236.9252679655</v>
      </c>
      <c r="L15" s="9"/>
      <c r="M15" s="9"/>
      <c r="N15" s="9"/>
      <c r="O15" s="9"/>
      <c r="P15" s="9"/>
      <c r="Q15" s="40" t="s">
        <v>38</v>
      </c>
      <c r="R15" s="17"/>
      <c r="S15" s="41">
        <v>0.04</v>
      </c>
      <c r="T15" s="42" t="s">
        <v>39</v>
      </c>
      <c r="U15" s="24">
        <v>4200000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</row>
    <row r="16" spans="1:57" s="10" customFormat="1">
      <c r="A16" s="9"/>
      <c r="B16" s="9"/>
      <c r="C16" s="9"/>
      <c r="D16" s="5"/>
      <c r="E16" s="5"/>
      <c r="F16" s="6"/>
      <c r="G16" s="16" t="s">
        <v>40</v>
      </c>
      <c r="H16" s="17"/>
      <c r="I16" s="41">
        <v>0.09</v>
      </c>
      <c r="J16" s="42" t="s">
        <v>39</v>
      </c>
      <c r="K16" s="24">
        <v>9475283.0818529222</v>
      </c>
      <c r="L16" s="9"/>
      <c r="M16" s="9"/>
      <c r="N16" s="9"/>
      <c r="O16" s="43"/>
      <c r="P16" s="9"/>
      <c r="Q16" s="16" t="s">
        <v>40</v>
      </c>
      <c r="R16" s="17"/>
      <c r="S16" s="41">
        <v>0.09</v>
      </c>
      <c r="T16" s="42" t="s">
        <v>39</v>
      </c>
      <c r="U16" s="24">
        <v>9500000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</row>
    <row r="17" spans="1:57" s="10" customFormat="1">
      <c r="A17" s="21" t="s">
        <v>41</v>
      </c>
      <c r="B17" s="44">
        <v>0.05</v>
      </c>
      <c r="C17" s="9"/>
      <c r="D17" s="5"/>
      <c r="E17" s="5"/>
      <c r="F17" s="6"/>
      <c r="G17" s="45" t="s">
        <v>42</v>
      </c>
      <c r="H17" s="17"/>
      <c r="I17" s="41">
        <v>4.4999999999999998E-2</v>
      </c>
      <c r="J17" s="42" t="s">
        <v>39</v>
      </c>
      <c r="K17" s="24">
        <v>4737641.5409264611</v>
      </c>
      <c r="L17" s="9"/>
      <c r="M17" s="9"/>
      <c r="N17" s="9"/>
      <c r="O17" s="46"/>
      <c r="P17" s="9"/>
      <c r="Q17" s="45" t="s">
        <v>42</v>
      </c>
      <c r="R17" s="17"/>
      <c r="S17" s="41">
        <v>4.4999999999999998E-2</v>
      </c>
      <c r="T17" s="42" t="s">
        <v>39</v>
      </c>
      <c r="U17" s="24">
        <v>4700000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</row>
    <row r="18" spans="1:57" s="10" customFormat="1">
      <c r="A18" s="47" t="s">
        <v>43</v>
      </c>
      <c r="B18" s="2"/>
      <c r="C18" s="2"/>
      <c r="D18" s="5"/>
      <c r="E18" s="5"/>
      <c r="F18" s="6"/>
      <c r="G18" s="48" t="s">
        <v>44</v>
      </c>
      <c r="H18" s="17"/>
      <c r="I18" s="49"/>
      <c r="J18" s="42"/>
      <c r="K18" s="50">
        <v>261541053.16303599</v>
      </c>
      <c r="L18" s="9"/>
      <c r="M18" s="9"/>
      <c r="N18" s="9"/>
      <c r="O18" s="46"/>
      <c r="P18" s="9"/>
      <c r="Q18" s="48" t="s">
        <v>44</v>
      </c>
      <c r="R18" s="17"/>
      <c r="S18" s="49"/>
      <c r="T18" s="42"/>
      <c r="U18" s="50">
        <v>261500000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</row>
    <row r="19" spans="1:57" s="10" customFormat="1">
      <c r="A19" s="2" t="s">
        <v>15</v>
      </c>
      <c r="B19" s="34">
        <v>0</v>
      </c>
      <c r="C19" s="2" t="s">
        <v>45</v>
      </c>
      <c r="D19" s="5"/>
      <c r="E19" s="5"/>
      <c r="F19" s="6"/>
      <c r="G19" s="16" t="s">
        <v>46</v>
      </c>
      <c r="H19" s="17"/>
      <c r="I19" s="41">
        <v>0.1</v>
      </c>
      <c r="J19" s="42" t="s">
        <v>47</v>
      </c>
      <c r="K19" s="24">
        <v>26154105.3163036</v>
      </c>
      <c r="L19" s="9"/>
      <c r="M19" s="9"/>
      <c r="N19" s="9"/>
      <c r="O19" s="46"/>
      <c r="P19" s="9"/>
      <c r="Q19" s="16" t="s">
        <v>46</v>
      </c>
      <c r="R19" s="17"/>
      <c r="S19" s="41">
        <v>0.1</v>
      </c>
      <c r="T19" s="42" t="s">
        <v>47</v>
      </c>
      <c r="U19" s="24">
        <v>26200000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</row>
    <row r="20" spans="1:57" s="10" customFormat="1">
      <c r="A20" s="2" t="s">
        <v>19</v>
      </c>
      <c r="B20" s="34">
        <v>0</v>
      </c>
      <c r="C20" s="2" t="s">
        <v>45</v>
      </c>
      <c r="D20" s="5"/>
      <c r="E20" s="5"/>
      <c r="F20" s="6"/>
      <c r="G20" s="16" t="s">
        <v>48</v>
      </c>
      <c r="H20" s="17"/>
      <c r="I20" s="41">
        <v>0.1</v>
      </c>
      <c r="J20" s="42" t="s">
        <v>47</v>
      </c>
      <c r="K20" s="24">
        <v>26154105.3163036</v>
      </c>
      <c r="L20" s="9"/>
      <c r="M20" s="9"/>
      <c r="N20" s="9"/>
      <c r="O20" s="46"/>
      <c r="P20" s="9"/>
      <c r="Q20" s="16" t="s">
        <v>48</v>
      </c>
      <c r="R20" s="17"/>
      <c r="S20" s="41">
        <v>0.1</v>
      </c>
      <c r="T20" s="42" t="s">
        <v>47</v>
      </c>
      <c r="U20" s="24">
        <v>26200000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</row>
    <row r="21" spans="1:57" s="10" customFormat="1">
      <c r="A21" s="47" t="s">
        <v>49</v>
      </c>
      <c r="B21" s="23"/>
      <c r="C21" s="2"/>
      <c r="D21" s="5"/>
      <c r="E21" s="5"/>
      <c r="F21" s="6"/>
      <c r="G21" s="16" t="s">
        <v>50</v>
      </c>
      <c r="H21" s="17"/>
      <c r="I21" s="41">
        <v>0.2</v>
      </c>
      <c r="J21" s="42" t="s">
        <v>47</v>
      </c>
      <c r="K21" s="24">
        <v>52308210.632607199</v>
      </c>
      <c r="L21" s="9"/>
      <c r="M21" s="9"/>
      <c r="N21" s="9"/>
      <c r="O21" s="46"/>
      <c r="P21" s="9"/>
      <c r="Q21" s="16" t="s">
        <v>50</v>
      </c>
      <c r="R21" s="17"/>
      <c r="S21" s="41">
        <v>0.2</v>
      </c>
      <c r="T21" s="42" t="s">
        <v>47</v>
      </c>
      <c r="U21" s="24">
        <v>52300000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</row>
    <row r="22" spans="1:57" s="10" customFormat="1">
      <c r="A22" s="2" t="s">
        <v>15</v>
      </c>
      <c r="B22" s="34">
        <v>7</v>
      </c>
      <c r="C22" s="2" t="s">
        <v>51</v>
      </c>
      <c r="D22" s="5"/>
      <c r="E22" s="5"/>
      <c r="F22" s="6"/>
      <c r="G22" s="16" t="s">
        <v>52</v>
      </c>
      <c r="H22" s="17"/>
      <c r="I22" s="41">
        <v>0.1</v>
      </c>
      <c r="J22" s="42" t="s">
        <v>47</v>
      </c>
      <c r="K22" s="24">
        <v>26154105.3163036</v>
      </c>
      <c r="L22" s="9"/>
      <c r="M22" s="51">
        <v>6.25E-2</v>
      </c>
      <c r="N22" s="9" t="s">
        <v>53</v>
      </c>
      <c r="O22" s="51">
        <v>0.15983265723709353</v>
      </c>
      <c r="P22" s="9" t="s">
        <v>54</v>
      </c>
      <c r="Q22" s="16" t="s">
        <v>52</v>
      </c>
      <c r="R22" s="17"/>
      <c r="S22" s="41">
        <v>0.1</v>
      </c>
      <c r="T22" s="42" t="s">
        <v>47</v>
      </c>
      <c r="U22" s="24">
        <v>26200000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s="10" customFormat="1">
      <c r="A23" s="2" t="s">
        <v>55</v>
      </c>
      <c r="B23" s="34">
        <v>20</v>
      </c>
      <c r="C23" s="2" t="s">
        <v>51</v>
      </c>
      <c r="D23" s="5"/>
      <c r="E23" s="5"/>
      <c r="F23" s="6"/>
      <c r="G23" s="16" t="s">
        <v>56</v>
      </c>
      <c r="H23" s="17"/>
      <c r="I23" s="41">
        <v>0.1</v>
      </c>
      <c r="J23" s="42" t="s">
        <v>47</v>
      </c>
      <c r="K23" s="24">
        <v>26154105.3163036</v>
      </c>
      <c r="L23" s="9"/>
      <c r="M23" s="51">
        <v>6.25E-2</v>
      </c>
      <c r="N23" s="9" t="s">
        <v>53</v>
      </c>
      <c r="O23" s="46"/>
      <c r="P23" s="9"/>
      <c r="Q23" s="16" t="s">
        <v>56</v>
      </c>
      <c r="R23" s="17"/>
      <c r="S23" s="41">
        <v>0.1</v>
      </c>
      <c r="T23" s="42" t="s">
        <v>47</v>
      </c>
      <c r="U23" s="24">
        <v>26200000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s="10" customFormat="1">
      <c r="A24" s="47" t="s">
        <v>57</v>
      </c>
      <c r="B24" s="34">
        <v>3</v>
      </c>
      <c r="C24" s="2"/>
      <c r="D24" s="5"/>
      <c r="E24" s="5"/>
      <c r="F24" s="6"/>
      <c r="G24" s="52" t="s">
        <v>58</v>
      </c>
      <c r="H24" s="17"/>
      <c r="I24" s="17"/>
      <c r="J24" s="17"/>
      <c r="K24" s="53">
        <v>156924631.89782161</v>
      </c>
      <c r="L24" s="9"/>
      <c r="M24" s="54">
        <v>0.95899594342256123</v>
      </c>
      <c r="N24" s="9" t="s">
        <v>54</v>
      </c>
      <c r="O24" s="46"/>
      <c r="P24" s="9"/>
      <c r="Q24" s="52" t="s">
        <v>58</v>
      </c>
      <c r="R24" s="17"/>
      <c r="S24" s="17"/>
      <c r="T24" s="17"/>
      <c r="U24" s="53">
        <v>156900000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>
      <c r="A25" s="47" t="s">
        <v>59</v>
      </c>
      <c r="B25" s="55">
        <v>0.08</v>
      </c>
      <c r="C25" s="2"/>
      <c r="D25" s="5"/>
      <c r="E25" s="5"/>
      <c r="F25" s="6"/>
      <c r="G25" s="56" t="s">
        <v>60</v>
      </c>
      <c r="H25" s="17"/>
      <c r="I25" s="17"/>
      <c r="J25" s="17"/>
      <c r="K25" s="50">
        <v>418465685.06085759</v>
      </c>
      <c r="L25" s="9"/>
      <c r="M25" s="9"/>
      <c r="N25" s="9"/>
      <c r="O25" s="46"/>
      <c r="P25" s="9"/>
      <c r="Q25" s="56" t="s">
        <v>60</v>
      </c>
      <c r="R25" s="17"/>
      <c r="S25" s="17"/>
      <c r="T25" s="17"/>
      <c r="U25" s="50">
        <v>418500000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0" customFormat="1">
      <c r="A26" s="47" t="s">
        <v>61</v>
      </c>
      <c r="B26" s="55">
        <v>0.6</v>
      </c>
      <c r="C26" s="2"/>
      <c r="D26" s="5"/>
      <c r="E26" s="5"/>
      <c r="F26" s="6"/>
      <c r="G26" s="45" t="s">
        <v>62</v>
      </c>
      <c r="H26" s="17"/>
      <c r="I26" s="17"/>
      <c r="J26" s="17"/>
      <c r="K26" s="24">
        <v>1848000</v>
      </c>
      <c r="L26" s="9"/>
      <c r="M26" s="9"/>
      <c r="N26" s="9"/>
      <c r="O26" s="9"/>
      <c r="P26" s="9"/>
      <c r="Q26" s="9" t="s">
        <v>62</v>
      </c>
      <c r="R26" s="9"/>
      <c r="S26" s="9"/>
      <c r="T26" s="9"/>
      <c r="U26" s="24">
        <v>1800000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s="10" customFormat="1">
      <c r="A27" s="47" t="s">
        <v>63</v>
      </c>
      <c r="B27" s="57">
        <v>0.32000000000000006</v>
      </c>
      <c r="C27" s="2"/>
      <c r="D27" s="5"/>
      <c r="E27" s="5"/>
      <c r="F27" s="6"/>
      <c r="G27" s="45" t="s">
        <v>64</v>
      </c>
      <c r="H27" s="17"/>
      <c r="I27" s="41">
        <v>0.05</v>
      </c>
      <c r="J27" s="42" t="s">
        <v>53</v>
      </c>
      <c r="K27" s="24">
        <v>20923284.25304288</v>
      </c>
      <c r="L27" s="9"/>
      <c r="M27" s="58"/>
      <c r="N27" s="8"/>
      <c r="O27" s="46"/>
      <c r="P27" s="9"/>
      <c r="Q27" s="45" t="s">
        <v>64</v>
      </c>
      <c r="R27" s="17"/>
      <c r="S27" s="41">
        <v>0.05</v>
      </c>
      <c r="T27" s="42" t="s">
        <v>53</v>
      </c>
      <c r="U27" s="24">
        <v>20900000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10" customFormat="1">
      <c r="A28" s="21" t="s">
        <v>65</v>
      </c>
      <c r="B28" s="59">
        <v>0.25</v>
      </c>
      <c r="C28" s="2"/>
      <c r="D28" s="5"/>
      <c r="E28" s="5"/>
      <c r="F28" s="6"/>
      <c r="G28" s="60" t="s">
        <v>66</v>
      </c>
      <c r="H28" s="17"/>
      <c r="I28" s="17"/>
      <c r="J28" s="42"/>
      <c r="K28" s="50">
        <v>441236969.31390047</v>
      </c>
      <c r="L28" s="9"/>
      <c r="M28" s="9" t="s">
        <v>67</v>
      </c>
      <c r="N28" s="9"/>
      <c r="O28" s="9"/>
      <c r="P28" s="9"/>
      <c r="Q28" s="60" t="s">
        <v>66</v>
      </c>
      <c r="R28" s="17"/>
      <c r="S28" s="17"/>
      <c r="T28" s="42"/>
      <c r="U28" s="50">
        <v>441200000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10" customFormat="1">
      <c r="A29" s="47" t="s">
        <v>68</v>
      </c>
      <c r="B29" s="55">
        <v>0.5</v>
      </c>
      <c r="C29" s="2"/>
      <c r="D29" s="5"/>
      <c r="E29" s="5"/>
      <c r="F29" s="6"/>
      <c r="G29" s="45"/>
      <c r="H29" s="17"/>
      <c r="I29" s="17"/>
      <c r="J29" s="17"/>
      <c r="K29" s="61"/>
      <c r="L29" s="9"/>
      <c r="M29" s="9" t="s">
        <v>69</v>
      </c>
      <c r="N29" s="9"/>
      <c r="O29" s="46">
        <v>41846568.506085761</v>
      </c>
      <c r="P29" s="9"/>
      <c r="Q29" s="45"/>
      <c r="R29" s="17"/>
      <c r="S29" s="17"/>
      <c r="T29" s="17"/>
      <c r="U29" s="61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s="10" customFormat="1">
      <c r="A30" s="47" t="s">
        <v>70</v>
      </c>
      <c r="B30" s="55">
        <v>0.75</v>
      </c>
      <c r="C30" s="2"/>
      <c r="D30" s="5"/>
      <c r="E30" s="5"/>
      <c r="F30" s="6"/>
      <c r="G30" s="16" t="s">
        <v>71</v>
      </c>
      <c r="H30" s="17"/>
      <c r="I30" s="17"/>
      <c r="J30" s="42"/>
      <c r="K30" s="62">
        <v>3.1424006461509228</v>
      </c>
      <c r="L30" s="9"/>
      <c r="M30" s="9" t="s">
        <v>72</v>
      </c>
      <c r="N30" s="9"/>
      <c r="O30" s="46">
        <v>8862281.7765123565</v>
      </c>
      <c r="P30" s="9"/>
      <c r="Q30" s="16" t="s">
        <v>73</v>
      </c>
      <c r="R30" s="17"/>
      <c r="S30" s="17"/>
      <c r="T30" s="42"/>
      <c r="U30" s="62">
        <v>3.1424006461509228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s="10" customFormat="1">
      <c r="A31" s="47" t="s">
        <v>74</v>
      </c>
      <c r="B31" s="55">
        <v>1</v>
      </c>
      <c r="C31" s="2"/>
      <c r="D31" s="5"/>
      <c r="E31" s="5"/>
      <c r="F31" s="6"/>
      <c r="G31" s="45" t="s">
        <v>75</v>
      </c>
      <c r="H31" s="17"/>
      <c r="I31" s="17"/>
      <c r="J31" s="17"/>
      <c r="K31" s="63" t="s">
        <v>76</v>
      </c>
      <c r="L31" s="9"/>
      <c r="M31" s="9" t="s">
        <v>77</v>
      </c>
      <c r="N31" s="9"/>
      <c r="O31" s="46">
        <v>106347381.31814829</v>
      </c>
      <c r="P31" s="9"/>
      <c r="Q31" s="45" t="s">
        <v>75</v>
      </c>
      <c r="R31" s="17"/>
      <c r="S31" s="17"/>
      <c r="T31" s="17"/>
      <c r="U31" s="63" t="s">
        <v>76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s="10" customFormat="1">
      <c r="A32" s="2" t="s">
        <v>78</v>
      </c>
      <c r="B32" s="64">
        <v>0.1</v>
      </c>
      <c r="C32" s="2" t="s">
        <v>79</v>
      </c>
      <c r="D32" s="5"/>
      <c r="E32" s="5"/>
      <c r="F32" s="6"/>
      <c r="G32" s="45"/>
      <c r="H32" s="17"/>
      <c r="I32" s="17"/>
      <c r="J32" s="17"/>
      <c r="K32" s="61"/>
      <c r="L32" s="9"/>
      <c r="M32" s="9" t="s">
        <v>80</v>
      </c>
      <c r="N32" s="9"/>
      <c r="O32" s="46">
        <v>10634738.13181483</v>
      </c>
      <c r="P32" s="9"/>
      <c r="Q32" s="45"/>
      <c r="R32" s="17"/>
      <c r="S32" s="17"/>
      <c r="T32" s="17"/>
      <c r="U32" s="61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s="10" customFormat="1">
      <c r="A33" s="2" t="s">
        <v>81</v>
      </c>
      <c r="B33" s="64">
        <v>0.35</v>
      </c>
      <c r="C33" s="2"/>
      <c r="D33" s="5"/>
      <c r="E33" s="5"/>
      <c r="F33" s="6"/>
      <c r="G33" s="65" t="s">
        <v>82</v>
      </c>
      <c r="H33" s="17"/>
      <c r="I33" s="17"/>
      <c r="J33" s="17"/>
      <c r="K33" s="61"/>
      <c r="L33" s="9"/>
      <c r="M33" s="9" t="s">
        <v>83</v>
      </c>
      <c r="N33" s="9"/>
      <c r="O33" s="46">
        <v>37221583.461351894</v>
      </c>
      <c r="P33" s="9"/>
      <c r="Q33" s="65" t="s">
        <v>82</v>
      </c>
      <c r="R33" s="17"/>
      <c r="S33" s="17"/>
      <c r="T33" s="17"/>
      <c r="U33" s="61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s="10" customFormat="1" ht="14" thickBot="1">
      <c r="A34" s="2" t="s">
        <v>84</v>
      </c>
      <c r="B34" s="66">
        <v>61.025930892978643</v>
      </c>
      <c r="C34" s="2" t="s">
        <v>85</v>
      </c>
      <c r="D34" s="5"/>
      <c r="E34" s="5"/>
      <c r="F34" s="6"/>
      <c r="G34" s="67" t="s">
        <v>86</v>
      </c>
      <c r="H34" s="68"/>
      <c r="I34" s="68"/>
      <c r="J34" s="68"/>
      <c r="K34" s="69" t="s">
        <v>87</v>
      </c>
      <c r="L34" s="9"/>
      <c r="M34" s="9" t="s">
        <v>88</v>
      </c>
      <c r="N34" s="9"/>
      <c r="O34" s="43">
        <v>20923284.25304288</v>
      </c>
      <c r="P34" s="9"/>
      <c r="Q34" s="67" t="s">
        <v>86</v>
      </c>
      <c r="R34" s="68"/>
      <c r="S34" s="68"/>
      <c r="T34" s="68"/>
      <c r="U34" s="69" t="s">
        <v>87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s="10" customFormat="1">
      <c r="A35" s="2" t="s">
        <v>89</v>
      </c>
      <c r="B35" s="34">
        <v>2007</v>
      </c>
      <c r="C35" s="2"/>
      <c r="D35" s="70"/>
      <c r="E35" s="70"/>
      <c r="F35" s="6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s="10" customFormat="1">
      <c r="A36" s="71" t="s">
        <v>90</v>
      </c>
      <c r="B36" s="72">
        <v>1.7636754985757639</v>
      </c>
      <c r="C36" s="73" t="s">
        <v>91</v>
      </c>
      <c r="D36" s="74"/>
      <c r="E36" s="75"/>
      <c r="F36" s="6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s="10" customFormat="1">
      <c r="A37" s="71"/>
      <c r="B37" s="76"/>
      <c r="C37" s="73"/>
      <c r="D37" s="77"/>
      <c r="E37" s="77"/>
      <c r="F37" s="6"/>
      <c r="G37" s="9"/>
      <c r="H37" s="9"/>
      <c r="I37" s="9"/>
      <c r="J37" s="9" t="s">
        <v>92</v>
      </c>
      <c r="K37" s="6">
        <v>1.6999375659330798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10" customFormat="1">
      <c r="A38" s="73" t="s">
        <v>93</v>
      </c>
      <c r="B38" s="78">
        <v>0</v>
      </c>
      <c r="C38" s="73" t="s">
        <v>94</v>
      </c>
      <c r="D38" s="47"/>
      <c r="E38" s="2"/>
      <c r="F38" s="6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</row>
    <row r="39" spans="1:57" s="10" customFormat="1">
      <c r="A39" s="9"/>
      <c r="B39" s="9"/>
      <c r="C39" s="9"/>
      <c r="D39" s="9"/>
      <c r="E39" s="9"/>
      <c r="F39" s="6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</row>
    <row r="40" spans="1:57" s="10" customFormat="1">
      <c r="A40" s="79" t="s">
        <v>95</v>
      </c>
      <c r="B40" s="80"/>
      <c r="C40" s="80"/>
      <c r="D40" s="80"/>
      <c r="E40" s="80"/>
      <c r="F40" s="6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</row>
    <row r="41" spans="1:57" s="83" customFormat="1" ht="14" thickBot="1">
      <c r="A41" s="81" t="s">
        <v>96</v>
      </c>
      <c r="B41" s="82"/>
      <c r="C41" s="82">
        <v>-2</v>
      </c>
      <c r="D41" s="82">
        <v>-1</v>
      </c>
      <c r="E41" s="82">
        <v>0</v>
      </c>
      <c r="F41" s="82">
        <v>1</v>
      </c>
      <c r="G41" s="82">
        <v>2</v>
      </c>
      <c r="H41" s="82">
        <v>3</v>
      </c>
      <c r="I41" s="82">
        <v>4</v>
      </c>
      <c r="J41" s="82">
        <v>5</v>
      </c>
      <c r="K41" s="82">
        <v>6</v>
      </c>
      <c r="L41" s="82">
        <v>7</v>
      </c>
      <c r="M41" s="82">
        <v>8</v>
      </c>
      <c r="N41" s="82">
        <v>9</v>
      </c>
      <c r="O41" s="82">
        <v>10</v>
      </c>
      <c r="P41" s="82">
        <v>11</v>
      </c>
      <c r="Q41" s="82">
        <v>12</v>
      </c>
      <c r="R41" s="82">
        <v>13</v>
      </c>
      <c r="S41" s="82">
        <v>14</v>
      </c>
      <c r="T41" s="82">
        <v>15</v>
      </c>
      <c r="U41" s="82">
        <v>16</v>
      </c>
      <c r="V41" s="82">
        <v>17</v>
      </c>
      <c r="W41" s="82">
        <v>18</v>
      </c>
      <c r="X41" s="82">
        <v>19</v>
      </c>
      <c r="Y41" s="82">
        <v>20</v>
      </c>
      <c r="Z41" s="82">
        <v>21</v>
      </c>
      <c r="AA41" s="82">
        <v>22</v>
      </c>
      <c r="AB41" s="82">
        <v>23</v>
      </c>
      <c r="AC41" s="82">
        <v>24</v>
      </c>
      <c r="AD41" s="82">
        <v>25</v>
      </c>
      <c r="AE41" s="82">
        <v>26</v>
      </c>
      <c r="AF41" s="82">
        <v>27</v>
      </c>
      <c r="AG41" s="82">
        <v>28</v>
      </c>
      <c r="AH41" s="82">
        <v>29</v>
      </c>
      <c r="AI41" s="82">
        <v>30</v>
      </c>
    </row>
    <row r="42" spans="1:57" s="85" customFormat="1">
      <c r="A42" s="2" t="s">
        <v>12</v>
      </c>
      <c r="B42" s="2"/>
      <c r="C42" s="84">
        <v>13390901.921947444</v>
      </c>
      <c r="D42" s="84">
        <v>100431764.41460583</v>
      </c>
      <c r="E42" s="84">
        <v>53563607.687789783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</row>
    <row r="43" spans="1:57" s="85" customFormat="1">
      <c r="A43" s="2" t="s">
        <v>97</v>
      </c>
      <c r="B43" s="2"/>
      <c r="C43" s="84">
        <v>1848000</v>
      </c>
      <c r="D43" s="86"/>
      <c r="E43" s="8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87">
        <v>-1848000</v>
      </c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</row>
    <row r="44" spans="1:57" s="85" customFormat="1" ht="14" thickBot="1">
      <c r="A44" s="88" t="s">
        <v>98</v>
      </c>
      <c r="B44" s="89" t="s">
        <v>99</v>
      </c>
      <c r="C44" s="88"/>
      <c r="D44" s="88"/>
      <c r="E44" s="90">
        <v>20923284.25304288</v>
      </c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9">
        <v>-20923284.25304288</v>
      </c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</row>
    <row r="45" spans="1:57" s="85" customFormat="1">
      <c r="A45" s="77" t="s">
        <v>100</v>
      </c>
      <c r="B45" s="87"/>
      <c r="C45" s="77"/>
      <c r="D45" s="77"/>
      <c r="E45" s="87"/>
      <c r="F45" s="84">
        <v>37418236.2491346</v>
      </c>
      <c r="G45" s="84">
        <v>37418236.2491346</v>
      </c>
      <c r="H45" s="84">
        <v>37418236.2491346</v>
      </c>
      <c r="I45" s="84">
        <v>37418236.2491346</v>
      </c>
      <c r="J45" s="84">
        <v>37418236.2491346</v>
      </c>
      <c r="K45" s="84">
        <v>37418236.2491346</v>
      </c>
      <c r="L45" s="84">
        <v>37418236.2491346</v>
      </c>
      <c r="M45" s="84">
        <v>37418236.2491346</v>
      </c>
      <c r="N45" s="84">
        <v>37418236.2491346</v>
      </c>
      <c r="O45" s="84">
        <v>37418236.2491346</v>
      </c>
      <c r="P45" s="84">
        <v>0</v>
      </c>
      <c r="Q45" s="84">
        <v>0</v>
      </c>
      <c r="R45" s="84">
        <v>0</v>
      </c>
      <c r="S45" s="84">
        <v>0</v>
      </c>
      <c r="T45" s="84">
        <v>0</v>
      </c>
      <c r="U45" s="84">
        <v>0</v>
      </c>
      <c r="V45" s="84">
        <v>0</v>
      </c>
      <c r="W45" s="84">
        <v>0</v>
      </c>
      <c r="X45" s="84">
        <v>0</v>
      </c>
      <c r="Y45" s="84">
        <v>0</v>
      </c>
      <c r="Z45" s="84">
        <v>0</v>
      </c>
      <c r="AA45" s="84">
        <v>0</v>
      </c>
      <c r="AB45" s="84">
        <v>0</v>
      </c>
      <c r="AC45" s="84">
        <v>0</v>
      </c>
      <c r="AD45" s="84">
        <v>0</v>
      </c>
      <c r="AE45" s="84">
        <v>0</v>
      </c>
      <c r="AF45" s="84">
        <v>0</v>
      </c>
      <c r="AG45" s="84">
        <v>0</v>
      </c>
      <c r="AH45" s="84">
        <v>0</v>
      </c>
      <c r="AI45" s="84">
        <v>0</v>
      </c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</row>
    <row r="46" spans="1:57" s="85" customFormat="1">
      <c r="A46" s="77" t="s">
        <v>101</v>
      </c>
      <c r="B46" s="87"/>
      <c r="C46" s="84">
        <v>1606908.230633693</v>
      </c>
      <c r="D46" s="84">
        <v>13658719.960386392</v>
      </c>
      <c r="E46" s="84">
        <v>20086352.882921163</v>
      </c>
      <c r="F46" s="84">
        <v>20086352.882921163</v>
      </c>
      <c r="G46" s="84">
        <v>18699802.21362409</v>
      </c>
      <c r="H46" s="84">
        <v>17202327.490783248</v>
      </c>
      <c r="I46" s="84">
        <v>15585054.79011514</v>
      </c>
      <c r="J46" s="84">
        <v>13838400.273393584</v>
      </c>
      <c r="K46" s="84">
        <v>11952013.395334302</v>
      </c>
      <c r="L46" s="84">
        <v>9914715.5670302771</v>
      </c>
      <c r="M46" s="84">
        <v>7714433.9124619318</v>
      </c>
      <c r="N46" s="84">
        <v>5338129.7255281182</v>
      </c>
      <c r="O46" s="84">
        <v>2771721.2036396</v>
      </c>
      <c r="P46" s="84">
        <v>-3.3527612686157225E-10</v>
      </c>
      <c r="Q46" s="84">
        <v>-3.6209821701049808E-10</v>
      </c>
      <c r="R46" s="84">
        <v>-3.9106607437133789E-10</v>
      </c>
      <c r="S46" s="84">
        <v>-4.2235136032104493E-10</v>
      </c>
      <c r="T46" s="84">
        <v>-4.5613946914672851E-10</v>
      </c>
      <c r="U46" s="84">
        <v>-4.9263062667846679E-10</v>
      </c>
      <c r="V46" s="84">
        <v>-5.3204107681274417E-10</v>
      </c>
      <c r="W46" s="84">
        <v>-5.7460436295776372E-10</v>
      </c>
      <c r="X46" s="84">
        <v>-6.2057271199438491E-10</v>
      </c>
      <c r="Y46" s="84">
        <v>-6.7021852895393577E-10</v>
      </c>
      <c r="Z46" s="84">
        <v>-7.2383601127025067E-10</v>
      </c>
      <c r="AA46" s="84">
        <v>-7.8174289217187073E-10</v>
      </c>
      <c r="AB46" s="84">
        <v>-8.4428232354562036E-10</v>
      </c>
      <c r="AC46" s="84">
        <v>-9.1182490942927E-10</v>
      </c>
      <c r="AD46" s="84">
        <v>-9.8477090218361163E-10</v>
      </c>
      <c r="AE46" s="84">
        <v>-1.0635525743583005E-9</v>
      </c>
      <c r="AF46" s="84">
        <v>-1.1486367803069647E-9</v>
      </c>
      <c r="AG46" s="84">
        <v>-1.2405277227315218E-9</v>
      </c>
      <c r="AH46" s="84">
        <v>-1.3397699405500438E-9</v>
      </c>
      <c r="AI46" s="84">
        <v>-6.7021852895393577E-10</v>
      </c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</row>
    <row r="47" spans="1:57" s="85" customFormat="1" ht="14" thickBot="1">
      <c r="A47" s="88" t="s">
        <v>102</v>
      </c>
      <c r="B47" s="89"/>
      <c r="C47" s="90">
        <v>20086352.882921163</v>
      </c>
      <c r="D47" s="90">
        <v>170733999.50482988</v>
      </c>
      <c r="E47" s="90">
        <v>251079411.03651455</v>
      </c>
      <c r="F47" s="90">
        <v>233747527.67030111</v>
      </c>
      <c r="G47" s="90">
        <v>215029093.6347906</v>
      </c>
      <c r="H47" s="90">
        <v>194813184.87643924</v>
      </c>
      <c r="I47" s="90">
        <v>172980003.41741979</v>
      </c>
      <c r="J47" s="90">
        <v>149400167.44167876</v>
      </c>
      <c r="K47" s="90">
        <v>123933944.58787847</v>
      </c>
      <c r="L47" s="90">
        <v>96430423.905774146</v>
      </c>
      <c r="M47" s="90">
        <v>66726621.569101475</v>
      </c>
      <c r="N47" s="90">
        <v>34646515.045494996</v>
      </c>
      <c r="O47" s="90">
        <v>-4.1909515857696533E-9</v>
      </c>
      <c r="P47" s="90">
        <v>-4.5262277126312259E-9</v>
      </c>
      <c r="Q47" s="90">
        <v>-4.8883259296417238E-9</v>
      </c>
      <c r="R47" s="90">
        <v>-5.2793920040130615E-9</v>
      </c>
      <c r="S47" s="90">
        <v>-5.7017433643341066E-9</v>
      </c>
      <c r="T47" s="90">
        <v>-6.1578828334808354E-9</v>
      </c>
      <c r="U47" s="90">
        <v>-6.6505134601593023E-9</v>
      </c>
      <c r="V47" s="90">
        <v>-7.1825545369720468E-9</v>
      </c>
      <c r="W47" s="90">
        <v>-7.757158899929811E-9</v>
      </c>
      <c r="X47" s="90">
        <v>-8.3777316119241968E-9</v>
      </c>
      <c r="Y47" s="90">
        <v>-9.0479501408781326E-9</v>
      </c>
      <c r="Z47" s="90">
        <v>-9.7717861521483835E-9</v>
      </c>
      <c r="AA47" s="90">
        <v>-1.0553529044320255E-8</v>
      </c>
      <c r="AB47" s="90">
        <v>-1.1397811367865874E-8</v>
      </c>
      <c r="AC47" s="90">
        <v>-1.2309636277295145E-8</v>
      </c>
      <c r="AD47" s="90">
        <v>-1.3294407179478756E-8</v>
      </c>
      <c r="AE47" s="90">
        <v>-1.4357959753837057E-8</v>
      </c>
      <c r="AF47" s="90">
        <v>-1.5506596534144024E-8</v>
      </c>
      <c r="AG47" s="90">
        <v>-1.6747124256875547E-8</v>
      </c>
      <c r="AH47" s="90">
        <v>-1.808689419742559E-8</v>
      </c>
      <c r="AI47" s="90">
        <v>-9.0479501408781326E-9</v>
      </c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</row>
    <row r="48" spans="1:57" s="85" customFormat="1">
      <c r="A48" s="2" t="s">
        <v>103</v>
      </c>
      <c r="B48" s="86" t="s">
        <v>99</v>
      </c>
      <c r="C48" s="86" t="s">
        <v>99</v>
      </c>
      <c r="D48" s="86" t="s">
        <v>99</v>
      </c>
      <c r="E48" s="86" t="s">
        <v>99</v>
      </c>
      <c r="F48" s="84">
        <v>94176196.70700869</v>
      </c>
      <c r="G48" s="84">
        <v>107629939.09372422</v>
      </c>
      <c r="H48" s="84">
        <v>107629939.09372422</v>
      </c>
      <c r="I48" s="84">
        <v>107629939.09372422</v>
      </c>
      <c r="J48" s="84">
        <v>107629939.09372422</v>
      </c>
      <c r="K48" s="84">
        <v>107629939.09372422</v>
      </c>
      <c r="L48" s="84">
        <v>107629939.09372422</v>
      </c>
      <c r="M48" s="84">
        <v>107629939.09372422</v>
      </c>
      <c r="N48" s="84">
        <v>107629939.09372422</v>
      </c>
      <c r="O48" s="84">
        <v>107629939.09372422</v>
      </c>
      <c r="P48" s="84">
        <v>107629939.09372422</v>
      </c>
      <c r="Q48" s="84">
        <v>107629939.09372422</v>
      </c>
      <c r="R48" s="84">
        <v>107629939.09372422</v>
      </c>
      <c r="S48" s="84">
        <v>107629939.09372422</v>
      </c>
      <c r="T48" s="84">
        <v>107629939.09372422</v>
      </c>
      <c r="U48" s="84">
        <v>107629939.09372422</v>
      </c>
      <c r="V48" s="84">
        <v>107629939.09372422</v>
      </c>
      <c r="W48" s="84">
        <v>107629939.09372422</v>
      </c>
      <c r="X48" s="84">
        <v>107629939.09372422</v>
      </c>
      <c r="Y48" s="84">
        <v>107629939.09372422</v>
      </c>
      <c r="Z48" s="84">
        <v>107629939.09372422</v>
      </c>
      <c r="AA48" s="84">
        <v>107629939.09372422</v>
      </c>
      <c r="AB48" s="84">
        <v>107629939.09372422</v>
      </c>
      <c r="AC48" s="84">
        <v>107629939.09372422</v>
      </c>
      <c r="AD48" s="84">
        <v>107629939.09372422</v>
      </c>
      <c r="AE48" s="84">
        <v>107629939.09372422</v>
      </c>
      <c r="AF48" s="84">
        <v>107629939.09372422</v>
      </c>
      <c r="AG48" s="84">
        <v>107629939.09372422</v>
      </c>
      <c r="AH48" s="84">
        <v>107629939.09372422</v>
      </c>
      <c r="AI48" s="84">
        <v>107629939.09372422</v>
      </c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</row>
    <row r="49" spans="1:59" s="85" customFormat="1" ht="12" customHeight="1">
      <c r="A49" s="2" t="s">
        <v>104</v>
      </c>
      <c r="B49" s="86" t="s">
        <v>99</v>
      </c>
      <c r="C49" s="86" t="s">
        <v>99</v>
      </c>
      <c r="D49" s="86" t="s">
        <v>99</v>
      </c>
      <c r="E49" s="86" t="s">
        <v>99</v>
      </c>
      <c r="F49" s="84">
        <v>49654978.722905293</v>
      </c>
      <c r="G49" s="84">
        <v>56748547.111891769</v>
      </c>
      <c r="H49" s="84">
        <v>56748547.111891769</v>
      </c>
      <c r="I49" s="84">
        <v>56748547.111891769</v>
      </c>
      <c r="J49" s="84">
        <v>56748547.111891769</v>
      </c>
      <c r="K49" s="84">
        <v>56748547.111891769</v>
      </c>
      <c r="L49" s="84">
        <v>56748547.111891769</v>
      </c>
      <c r="M49" s="84">
        <v>56748547.111891769</v>
      </c>
      <c r="N49" s="84">
        <v>56748547.111891769</v>
      </c>
      <c r="O49" s="84">
        <v>56748547.111891769</v>
      </c>
      <c r="P49" s="84">
        <v>56748547.111891769</v>
      </c>
      <c r="Q49" s="84">
        <v>56748547.111891769</v>
      </c>
      <c r="R49" s="84">
        <v>56748547.111891769</v>
      </c>
      <c r="S49" s="84">
        <v>56748547.111891769</v>
      </c>
      <c r="T49" s="84">
        <v>56748547.111891769</v>
      </c>
      <c r="U49" s="84">
        <v>56748547.111891769</v>
      </c>
      <c r="V49" s="84">
        <v>56748547.111891769</v>
      </c>
      <c r="W49" s="84">
        <v>56748547.111891769</v>
      </c>
      <c r="X49" s="84">
        <v>56748547.111891769</v>
      </c>
      <c r="Y49" s="84">
        <v>56748547.111891769</v>
      </c>
      <c r="Z49" s="84">
        <v>56748547.111891769</v>
      </c>
      <c r="AA49" s="84">
        <v>56748547.111891769</v>
      </c>
      <c r="AB49" s="84">
        <v>56748547.111891769</v>
      </c>
      <c r="AC49" s="84">
        <v>56748547.111891769</v>
      </c>
      <c r="AD49" s="84">
        <v>56748547.111891769</v>
      </c>
      <c r="AE49" s="84">
        <v>56748547.111891769</v>
      </c>
      <c r="AF49" s="84">
        <v>56748547.111891769</v>
      </c>
      <c r="AG49" s="84">
        <v>56748547.111891769</v>
      </c>
      <c r="AH49" s="84">
        <v>56748547.111891769</v>
      </c>
      <c r="AI49" s="84">
        <v>56748547.111891769</v>
      </c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</row>
    <row r="50" spans="1:59" s="85" customFormat="1" ht="14" thickBot="1">
      <c r="A50" s="88" t="s">
        <v>105</v>
      </c>
      <c r="B50" s="89"/>
      <c r="C50" s="89"/>
      <c r="D50" s="89"/>
      <c r="E50" s="89"/>
      <c r="F50" s="90">
        <v>143831175.429914</v>
      </c>
      <c r="G50" s="90">
        <v>164378486.205616</v>
      </c>
      <c r="H50" s="90">
        <v>164378486.205616</v>
      </c>
      <c r="I50" s="90">
        <v>164378486.205616</v>
      </c>
      <c r="J50" s="90">
        <v>164378486.205616</v>
      </c>
      <c r="K50" s="90">
        <v>164378486.205616</v>
      </c>
      <c r="L50" s="90">
        <v>164378486.205616</v>
      </c>
      <c r="M50" s="90">
        <v>164378486.205616</v>
      </c>
      <c r="N50" s="90">
        <v>164378486.205616</v>
      </c>
      <c r="O50" s="90">
        <v>164378486.205616</v>
      </c>
      <c r="P50" s="90">
        <v>164378486.205616</v>
      </c>
      <c r="Q50" s="90">
        <v>164378486.205616</v>
      </c>
      <c r="R50" s="90">
        <v>164378486.205616</v>
      </c>
      <c r="S50" s="90">
        <v>164378486.205616</v>
      </c>
      <c r="T50" s="90">
        <v>164378486.205616</v>
      </c>
      <c r="U50" s="90">
        <v>164378486.205616</v>
      </c>
      <c r="V50" s="90">
        <v>164378486.205616</v>
      </c>
      <c r="W50" s="90">
        <v>164378486.205616</v>
      </c>
      <c r="X50" s="90">
        <v>164378486.205616</v>
      </c>
      <c r="Y50" s="90">
        <v>164378486.205616</v>
      </c>
      <c r="Z50" s="90">
        <v>164378486.205616</v>
      </c>
      <c r="AA50" s="90">
        <v>164378486.205616</v>
      </c>
      <c r="AB50" s="90">
        <v>164378486.205616</v>
      </c>
      <c r="AC50" s="90">
        <v>164378486.205616</v>
      </c>
      <c r="AD50" s="90">
        <v>164378486.205616</v>
      </c>
      <c r="AE50" s="90">
        <v>164378486.205616</v>
      </c>
      <c r="AF50" s="90">
        <v>164378486.205616</v>
      </c>
      <c r="AG50" s="90">
        <v>164378486.205616</v>
      </c>
      <c r="AH50" s="90">
        <v>164378486.205616</v>
      </c>
      <c r="AI50" s="90">
        <v>164378486.205616</v>
      </c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</row>
    <row r="51" spans="1:59" s="85" customFormat="1">
      <c r="A51" s="2" t="s">
        <v>106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</row>
    <row r="52" spans="1:59" s="85" customFormat="1">
      <c r="A52" s="47" t="s">
        <v>107</v>
      </c>
      <c r="B52" s="2"/>
      <c r="C52" s="2"/>
      <c r="D52" s="2"/>
      <c r="E52" s="2"/>
      <c r="F52" s="84">
        <v>39550981.814649314</v>
      </c>
      <c r="G52" s="84">
        <v>45201122.073884934</v>
      </c>
      <c r="H52" s="84">
        <v>45201122.073884934</v>
      </c>
      <c r="I52" s="84">
        <v>45201122.073884934</v>
      </c>
      <c r="J52" s="84">
        <v>45201122.073884934</v>
      </c>
      <c r="K52" s="84">
        <v>45201122.073884934</v>
      </c>
      <c r="L52" s="84">
        <v>45201122.073884934</v>
      </c>
      <c r="M52" s="84">
        <v>45201122.073884934</v>
      </c>
      <c r="N52" s="84">
        <v>45201122.073884934</v>
      </c>
      <c r="O52" s="84">
        <v>45201122.073884934</v>
      </c>
      <c r="P52" s="84">
        <v>45201122.073884934</v>
      </c>
      <c r="Q52" s="84">
        <v>45201122.073884934</v>
      </c>
      <c r="R52" s="84">
        <v>45201122.073884934</v>
      </c>
      <c r="S52" s="84">
        <v>45201122.073884934</v>
      </c>
      <c r="T52" s="84">
        <v>45201122.073884934</v>
      </c>
      <c r="U52" s="84">
        <v>45201122.073884934</v>
      </c>
      <c r="V52" s="84">
        <v>45201122.073884934</v>
      </c>
      <c r="W52" s="84">
        <v>45201122.073884934</v>
      </c>
      <c r="X52" s="84">
        <v>45201122.073884934</v>
      </c>
      <c r="Y52" s="84">
        <v>45201122.073884934</v>
      </c>
      <c r="Z52" s="84">
        <v>45201122.073884934</v>
      </c>
      <c r="AA52" s="84">
        <v>45201122.073884934</v>
      </c>
      <c r="AB52" s="84">
        <v>45201122.073884934</v>
      </c>
      <c r="AC52" s="84">
        <v>45201122.073884934</v>
      </c>
      <c r="AD52" s="84">
        <v>45201122.073884934</v>
      </c>
      <c r="AE52" s="84">
        <v>45201122.073884934</v>
      </c>
      <c r="AF52" s="84">
        <v>45201122.073884934</v>
      </c>
      <c r="AG52" s="84">
        <v>45201122.073884934</v>
      </c>
      <c r="AH52" s="84">
        <v>45201122.073884934</v>
      </c>
      <c r="AI52" s="84">
        <v>45201122.073884934</v>
      </c>
      <c r="AJ52" s="87" t="s">
        <v>99</v>
      </c>
      <c r="AK52" s="87" t="s">
        <v>99</v>
      </c>
      <c r="AL52" s="87" t="s">
        <v>99</v>
      </c>
      <c r="AM52" s="87" t="s">
        <v>99</v>
      </c>
      <c r="AN52" s="87" t="s">
        <v>99</v>
      </c>
      <c r="AO52" s="87" t="s">
        <v>99</v>
      </c>
      <c r="AP52" s="87" t="s">
        <v>99</v>
      </c>
      <c r="AQ52" s="87" t="s">
        <v>99</v>
      </c>
      <c r="AR52" s="87" t="s">
        <v>99</v>
      </c>
      <c r="AS52" s="87" t="s">
        <v>99</v>
      </c>
      <c r="AT52" s="87" t="s">
        <v>99</v>
      </c>
      <c r="AU52" s="87" t="s">
        <v>99</v>
      </c>
      <c r="AV52" s="87" t="s">
        <v>99</v>
      </c>
      <c r="AW52" s="87" t="s">
        <v>99</v>
      </c>
      <c r="AX52" s="87" t="s">
        <v>99</v>
      </c>
      <c r="AY52" s="87" t="s">
        <v>99</v>
      </c>
      <c r="AZ52" s="87" t="s">
        <v>99</v>
      </c>
      <c r="BA52" s="87" t="s">
        <v>99</v>
      </c>
      <c r="BB52" s="87" t="s">
        <v>99</v>
      </c>
      <c r="BC52" s="87" t="s">
        <v>99</v>
      </c>
      <c r="BD52" s="87" t="s">
        <v>99</v>
      </c>
      <c r="BE52" s="87" t="s">
        <v>99</v>
      </c>
      <c r="BF52" s="87" t="s">
        <v>99</v>
      </c>
      <c r="BG52" s="87" t="s">
        <v>99</v>
      </c>
    </row>
    <row r="53" spans="1:59" s="85" customFormat="1">
      <c r="A53" s="21" t="s">
        <v>108</v>
      </c>
      <c r="B53" s="2"/>
      <c r="C53" s="2"/>
      <c r="D53" s="2"/>
      <c r="E53" s="2"/>
      <c r="F53" s="84">
        <v>466182.90115532733</v>
      </c>
      <c r="G53" s="84"/>
      <c r="H53" s="84"/>
      <c r="I53" s="84"/>
      <c r="J53" s="84"/>
      <c r="K53" s="84">
        <v>466182.90115532733</v>
      </c>
      <c r="L53" s="84"/>
      <c r="M53" s="84"/>
      <c r="N53" s="84"/>
      <c r="O53" s="84"/>
      <c r="P53" s="84">
        <v>466182.90115532733</v>
      </c>
      <c r="Q53" s="84"/>
      <c r="R53" s="84"/>
      <c r="S53" s="84"/>
      <c r="T53" s="84"/>
      <c r="U53" s="84">
        <v>466182.90115532733</v>
      </c>
      <c r="V53" s="84"/>
      <c r="W53" s="84"/>
      <c r="X53" s="84"/>
      <c r="Y53" s="84"/>
      <c r="Z53" s="84">
        <v>466182.90115532733</v>
      </c>
      <c r="AA53" s="84"/>
      <c r="AB53" s="84"/>
      <c r="AC53" s="84"/>
      <c r="AD53" s="84"/>
      <c r="AE53" s="84">
        <v>466182.90115532733</v>
      </c>
      <c r="AF53" s="84"/>
      <c r="AG53" s="84"/>
      <c r="AH53" s="84"/>
      <c r="AI53" s="84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</row>
    <row r="54" spans="1:59" s="85" customFormat="1">
      <c r="A54" s="2" t="s">
        <v>109</v>
      </c>
      <c r="B54" s="2"/>
      <c r="C54" s="2"/>
      <c r="D54" s="2"/>
      <c r="E54" s="2"/>
      <c r="F54" s="84">
        <v>47205298.643358693</v>
      </c>
      <c r="G54" s="84">
        <v>50352318.552915938</v>
      </c>
      <c r="H54" s="84">
        <v>50352318.552915938</v>
      </c>
      <c r="I54" s="84">
        <v>50352318.552915938</v>
      </c>
      <c r="J54" s="84">
        <v>50352318.552915938</v>
      </c>
      <c r="K54" s="84">
        <v>50352318.552915938</v>
      </c>
      <c r="L54" s="84">
        <v>50352318.552915938</v>
      </c>
      <c r="M54" s="84">
        <v>50352318.552915938</v>
      </c>
      <c r="N54" s="84">
        <v>50352318.552915938</v>
      </c>
      <c r="O54" s="84">
        <v>50352318.552915938</v>
      </c>
      <c r="P54" s="84">
        <v>50352318.552915938</v>
      </c>
      <c r="Q54" s="84">
        <v>50352318.552915938</v>
      </c>
      <c r="R54" s="84">
        <v>50352318.552915938</v>
      </c>
      <c r="S54" s="84">
        <v>50352318.552915938</v>
      </c>
      <c r="T54" s="84">
        <v>50352318.552915938</v>
      </c>
      <c r="U54" s="84">
        <v>50352318.552915938</v>
      </c>
      <c r="V54" s="84">
        <v>50352318.552915938</v>
      </c>
      <c r="W54" s="84">
        <v>50352318.552915938</v>
      </c>
      <c r="X54" s="84">
        <v>50352318.552915938</v>
      </c>
      <c r="Y54" s="84">
        <v>50352318.552915938</v>
      </c>
      <c r="Z54" s="84">
        <v>50352318.552915938</v>
      </c>
      <c r="AA54" s="84">
        <v>50352318.552915938</v>
      </c>
      <c r="AB54" s="84">
        <v>50352318.552915938</v>
      </c>
      <c r="AC54" s="84">
        <v>50352318.552915938</v>
      </c>
      <c r="AD54" s="84">
        <v>50352318.552915938</v>
      </c>
      <c r="AE54" s="84">
        <v>50352318.552915938</v>
      </c>
      <c r="AF54" s="84">
        <v>50352318.552915938</v>
      </c>
      <c r="AG54" s="84">
        <v>50352318.552915938</v>
      </c>
      <c r="AH54" s="84">
        <v>50352318.552915938</v>
      </c>
      <c r="AI54" s="84">
        <v>50352318.552915938</v>
      </c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</row>
    <row r="55" spans="1:59" s="85" customFormat="1">
      <c r="A55" s="2" t="s">
        <v>110</v>
      </c>
      <c r="B55" s="2"/>
      <c r="C55" s="2"/>
      <c r="D55" s="2"/>
      <c r="E55" s="2"/>
      <c r="F55" s="84">
        <v>10793940.691347422</v>
      </c>
      <c r="G55" s="84">
        <v>10793940.691347422</v>
      </c>
      <c r="H55" s="84">
        <v>10793940.691347422</v>
      </c>
      <c r="I55" s="84">
        <v>10793940.691347422</v>
      </c>
      <c r="J55" s="84">
        <v>10793940.691347422</v>
      </c>
      <c r="K55" s="84">
        <v>10793940.691347422</v>
      </c>
      <c r="L55" s="84">
        <v>10793940.691347422</v>
      </c>
      <c r="M55" s="84">
        <v>10793940.691347422</v>
      </c>
      <c r="N55" s="84">
        <v>10793940.691347422</v>
      </c>
      <c r="O55" s="84">
        <v>10793940.691347422</v>
      </c>
      <c r="P55" s="84">
        <v>10793940.691347422</v>
      </c>
      <c r="Q55" s="84">
        <v>10793940.691347422</v>
      </c>
      <c r="R55" s="84">
        <v>10793940.691347422</v>
      </c>
      <c r="S55" s="84">
        <v>10793940.691347422</v>
      </c>
      <c r="T55" s="84">
        <v>10793940.691347422</v>
      </c>
      <c r="U55" s="84">
        <v>10793940.691347422</v>
      </c>
      <c r="V55" s="84">
        <v>10793940.691347422</v>
      </c>
      <c r="W55" s="84">
        <v>10793940.691347422</v>
      </c>
      <c r="X55" s="84">
        <v>10793940.691347422</v>
      </c>
      <c r="Y55" s="84">
        <v>10793940.691347422</v>
      </c>
      <c r="Z55" s="84">
        <v>10793940.691347422</v>
      </c>
      <c r="AA55" s="84">
        <v>10793940.691347422</v>
      </c>
      <c r="AB55" s="84">
        <v>10793940.691347422</v>
      </c>
      <c r="AC55" s="84">
        <v>10793940.691347422</v>
      </c>
      <c r="AD55" s="84">
        <v>10793940.691347422</v>
      </c>
      <c r="AE55" s="84">
        <v>10793940.691347422</v>
      </c>
      <c r="AF55" s="84">
        <v>10793940.691347422</v>
      </c>
      <c r="AG55" s="84">
        <v>10793940.691347422</v>
      </c>
      <c r="AH55" s="84">
        <v>10793940.691347422</v>
      </c>
      <c r="AI55" s="84">
        <v>10793940.691347422</v>
      </c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</row>
    <row r="56" spans="1:59" s="85" customFormat="1" ht="14" thickBot="1">
      <c r="A56" s="88" t="s">
        <v>111</v>
      </c>
      <c r="B56" s="88"/>
      <c r="C56" s="88"/>
      <c r="D56" s="88"/>
      <c r="E56" s="88"/>
      <c r="F56" s="90">
        <v>98016404.050510764</v>
      </c>
      <c r="G56" s="90">
        <v>106347381.31814829</v>
      </c>
      <c r="H56" s="90">
        <v>106347381.31814829</v>
      </c>
      <c r="I56" s="90">
        <v>106347381.31814829</v>
      </c>
      <c r="J56" s="90">
        <v>106347381.31814829</v>
      </c>
      <c r="K56" s="90">
        <v>106813564.21930362</v>
      </c>
      <c r="L56" s="90">
        <v>106347381.31814829</v>
      </c>
      <c r="M56" s="90">
        <v>106347381.31814829</v>
      </c>
      <c r="N56" s="90">
        <v>106347381.31814829</v>
      </c>
      <c r="O56" s="90">
        <v>106347381.31814829</v>
      </c>
      <c r="P56" s="90">
        <v>106813564.21930362</v>
      </c>
      <c r="Q56" s="90">
        <v>106347381.31814829</v>
      </c>
      <c r="R56" s="90">
        <v>106347381.31814829</v>
      </c>
      <c r="S56" s="90">
        <v>106347381.31814829</v>
      </c>
      <c r="T56" s="90">
        <v>106347381.31814829</v>
      </c>
      <c r="U56" s="90">
        <v>106813564.21930362</v>
      </c>
      <c r="V56" s="90">
        <v>106347381.31814829</v>
      </c>
      <c r="W56" s="90">
        <v>106347381.31814829</v>
      </c>
      <c r="X56" s="90">
        <v>106347381.31814829</v>
      </c>
      <c r="Y56" s="90">
        <v>106347381.31814829</v>
      </c>
      <c r="Z56" s="90">
        <v>106813564.21930362</v>
      </c>
      <c r="AA56" s="90">
        <v>106347381.31814829</v>
      </c>
      <c r="AB56" s="90">
        <v>106347381.31814829</v>
      </c>
      <c r="AC56" s="90">
        <v>106347381.31814829</v>
      </c>
      <c r="AD56" s="90">
        <v>106347381.31814829</v>
      </c>
      <c r="AE56" s="90">
        <v>106813564.21930362</v>
      </c>
      <c r="AF56" s="90">
        <v>106347381.31814829</v>
      </c>
      <c r="AG56" s="90">
        <v>106347381.31814829</v>
      </c>
      <c r="AH56" s="90">
        <v>106347381.31814829</v>
      </c>
      <c r="AI56" s="90">
        <v>106347381.31814829</v>
      </c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</row>
    <row r="57" spans="1:59" s="85" customFormat="1">
      <c r="A57" s="77" t="s">
        <v>112</v>
      </c>
      <c r="B57" s="77"/>
      <c r="C57" s="77"/>
      <c r="D57" s="77"/>
      <c r="E57" s="7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</row>
    <row r="58" spans="1:59" s="85" customFormat="1">
      <c r="A58" s="2" t="s">
        <v>113</v>
      </c>
      <c r="B58" s="2"/>
      <c r="C58" s="2"/>
      <c r="D58" s="2"/>
      <c r="E58" s="2"/>
      <c r="F58" s="91">
        <v>0.1429</v>
      </c>
      <c r="G58" s="58">
        <v>0.24490000000000001</v>
      </c>
      <c r="H58" s="58">
        <v>0.1749</v>
      </c>
      <c r="I58" s="58">
        <v>0.1249</v>
      </c>
      <c r="J58" s="58">
        <v>8.9300000000000004E-2</v>
      </c>
      <c r="K58" s="58">
        <v>8.9200000000000002E-2</v>
      </c>
      <c r="L58" s="58">
        <v>8.9300000000000004E-2</v>
      </c>
      <c r="M58" s="58">
        <v>4.4600000000000001E-2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</row>
    <row r="59" spans="1:59" s="85" customFormat="1">
      <c r="A59" s="2" t="s">
        <v>114</v>
      </c>
      <c r="B59" s="2"/>
      <c r="C59" s="2"/>
      <c r="D59" s="2"/>
      <c r="E59" s="2"/>
      <c r="F59" s="84">
        <v>50394336.357791416</v>
      </c>
      <c r="G59" s="84">
        <v>86365101.287775502</v>
      </c>
      <c r="H59" s="84">
        <v>61679282.218178578</v>
      </c>
      <c r="I59" s="84">
        <v>44046554.311323635</v>
      </c>
      <c r="J59" s="84">
        <v>31492052.041642923</v>
      </c>
      <c r="K59" s="84">
        <v>31456786.585829213</v>
      </c>
      <c r="L59" s="84">
        <v>31492052.041642923</v>
      </c>
      <c r="M59" s="84">
        <v>15728393.292914607</v>
      </c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</row>
    <row r="60" spans="1:59" s="85" customFormat="1">
      <c r="A60" s="2" t="s">
        <v>115</v>
      </c>
      <c r="B60" s="2"/>
      <c r="C60" s="2"/>
      <c r="D60" s="2"/>
      <c r="E60" s="2"/>
      <c r="F60" s="84">
        <v>302260221.77930737</v>
      </c>
      <c r="G60" s="84">
        <v>215895120.49153185</v>
      </c>
      <c r="H60" s="84">
        <v>154215838.27335328</v>
      </c>
      <c r="I60" s="84">
        <v>110169283.96202964</v>
      </c>
      <c r="J60" s="84">
        <v>78677231.920386717</v>
      </c>
      <c r="K60" s="84">
        <v>47220445.334557503</v>
      </c>
      <c r="L60" s="84">
        <v>15728393.292914581</v>
      </c>
      <c r="M60" s="84">
        <v>-2.6077032089233398E-8</v>
      </c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</row>
    <row r="61" spans="1:59" s="85" customFormat="1">
      <c r="A61" s="2" t="s">
        <v>116</v>
      </c>
      <c r="B61" s="2"/>
      <c r="C61" s="2"/>
      <c r="D61" s="2"/>
      <c r="E61" s="2"/>
      <c r="F61" s="58">
        <v>3.7499999999999999E-2</v>
      </c>
      <c r="G61" s="58">
        <v>7.2190000000000004E-2</v>
      </c>
      <c r="H61" s="58">
        <v>6.6769999999999996E-2</v>
      </c>
      <c r="I61" s="58">
        <v>6.1769999999999999E-2</v>
      </c>
      <c r="J61" s="58">
        <v>5.713E-2</v>
      </c>
      <c r="K61" s="58">
        <v>5.2850000000000001E-2</v>
      </c>
      <c r="L61" s="58">
        <v>4.888E-2</v>
      </c>
      <c r="M61" s="58">
        <v>4.5220000000000003E-2</v>
      </c>
      <c r="N61" s="58">
        <v>4.462E-2</v>
      </c>
      <c r="O61" s="58">
        <v>4.4609999999999997E-2</v>
      </c>
      <c r="P61" s="58">
        <v>4.462E-2</v>
      </c>
      <c r="Q61" s="58">
        <v>4.4609999999999997E-2</v>
      </c>
      <c r="R61" s="58">
        <v>4.462E-2</v>
      </c>
      <c r="S61" s="58">
        <v>4.4609999999999997E-2</v>
      </c>
      <c r="T61" s="58">
        <v>4.462E-2</v>
      </c>
      <c r="U61" s="58">
        <v>4.4609999999999997E-2</v>
      </c>
      <c r="V61" s="58">
        <v>4.462E-2</v>
      </c>
      <c r="W61" s="58">
        <v>4.4609999999999997E-2</v>
      </c>
      <c r="X61" s="58">
        <v>4.462E-2</v>
      </c>
      <c r="Y61" s="58">
        <v>4.4609999999999997E-2</v>
      </c>
      <c r="Z61" s="58">
        <v>2.231E-2</v>
      </c>
      <c r="AA61" s="92"/>
      <c r="AB61" s="92"/>
      <c r="AC61" s="92"/>
      <c r="AD61" s="92"/>
      <c r="AE61" s="92"/>
      <c r="AF61" s="92"/>
      <c r="AG61" s="92"/>
      <c r="AH61" s="92"/>
      <c r="AI61" s="92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</row>
    <row r="62" spans="1:59" s="85" customFormat="1">
      <c r="A62" s="2" t="s">
        <v>114</v>
      </c>
      <c r="B62" s="2"/>
      <c r="C62" s="2"/>
      <c r="D62" s="2"/>
      <c r="E62" s="2"/>
      <c r="F62" s="84">
        <v>2467917.2596409563</v>
      </c>
      <c r="G62" s="84">
        <v>4750905.2526261508</v>
      </c>
      <c r="H62" s="84">
        <v>4394208.9446993768</v>
      </c>
      <c r="I62" s="84">
        <v>4065153.3100805832</v>
      </c>
      <c r="J62" s="84">
        <v>3759789.6811543424</v>
      </c>
      <c r="K62" s="84">
        <v>3478118.0579206543</v>
      </c>
      <c r="L62" s="84">
        <v>3216847.8840333316</v>
      </c>
      <c r="M62" s="84">
        <v>2975979.1594923749</v>
      </c>
      <c r="N62" s="84">
        <v>2936492.483338119</v>
      </c>
      <c r="O62" s="84">
        <v>2935834.3720688815</v>
      </c>
      <c r="P62" s="84">
        <v>2936492.483338119</v>
      </c>
      <c r="Q62" s="84">
        <v>2935834.3720688815</v>
      </c>
      <c r="R62" s="84">
        <v>2936492.483338119</v>
      </c>
      <c r="S62" s="84">
        <v>2935834.3720688815</v>
      </c>
      <c r="T62" s="84">
        <v>2936492.483338119</v>
      </c>
      <c r="U62" s="84">
        <v>2935834.3720688815</v>
      </c>
      <c r="V62" s="84">
        <v>2936492.483338119</v>
      </c>
      <c r="W62" s="84">
        <v>2935834.3720688815</v>
      </c>
      <c r="X62" s="84">
        <v>2936492.483338119</v>
      </c>
      <c r="Y62" s="84">
        <v>2935834.3720688815</v>
      </c>
      <c r="Z62" s="84">
        <v>1468246.2416690595</v>
      </c>
      <c r="AA62" s="92"/>
      <c r="AB62" s="92"/>
      <c r="AC62" s="92"/>
      <c r="AD62" s="92"/>
      <c r="AE62" s="92"/>
      <c r="AF62" s="92"/>
      <c r="AG62" s="92"/>
      <c r="AH62" s="92"/>
      <c r="AI62" s="92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</row>
    <row r="63" spans="1:59" s="85" customFormat="1" ht="14" thickBot="1">
      <c r="A63" s="88" t="s">
        <v>115</v>
      </c>
      <c r="B63" s="88"/>
      <c r="C63" s="88"/>
      <c r="D63" s="88"/>
      <c r="E63" s="88"/>
      <c r="F63" s="90">
        <v>63343209.66411788</v>
      </c>
      <c r="G63" s="90">
        <v>58592304.411491729</v>
      </c>
      <c r="H63" s="90">
        <v>54198095.466792352</v>
      </c>
      <c r="I63" s="90">
        <v>50132942.156711772</v>
      </c>
      <c r="J63" s="90">
        <v>46373152.475557432</v>
      </c>
      <c r="K63" s="90">
        <v>42895034.417636774</v>
      </c>
      <c r="L63" s="90">
        <v>39678186.533603445</v>
      </c>
      <c r="M63" s="90">
        <v>36702207.374111071</v>
      </c>
      <c r="N63" s="90">
        <v>33765714.890772954</v>
      </c>
      <c r="O63" s="90">
        <v>30829880.518704072</v>
      </c>
      <c r="P63" s="90">
        <v>27893388.035365954</v>
      </c>
      <c r="Q63" s="90">
        <v>24957553.663297072</v>
      </c>
      <c r="R63" s="90">
        <v>22021061.179958954</v>
      </c>
      <c r="S63" s="90">
        <v>19085226.807890072</v>
      </c>
      <c r="T63" s="90">
        <v>16148734.324551953</v>
      </c>
      <c r="U63" s="90">
        <v>13212899.952483071</v>
      </c>
      <c r="V63" s="90">
        <v>10276407.469144952</v>
      </c>
      <c r="W63" s="90">
        <v>7340573.0970760696</v>
      </c>
      <c r="X63" s="90">
        <v>4404080.6137379501</v>
      </c>
      <c r="Y63" s="90">
        <v>1468246.2416690686</v>
      </c>
      <c r="Z63" s="90">
        <v>9.0803951025009155E-9</v>
      </c>
      <c r="AA63" s="93"/>
      <c r="AB63" s="93"/>
      <c r="AC63" s="93"/>
      <c r="AD63" s="93"/>
      <c r="AE63" s="93"/>
      <c r="AF63" s="93"/>
      <c r="AG63" s="93"/>
      <c r="AH63" s="93"/>
      <c r="AI63" s="93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</row>
    <row r="64" spans="1:59" s="85" customFormat="1">
      <c r="A64" s="77" t="s">
        <v>117</v>
      </c>
      <c r="B64" s="77"/>
      <c r="C64" s="77"/>
      <c r="D64" s="77"/>
      <c r="E64" s="77"/>
      <c r="F64" s="87">
        <v>-27133835.120950304</v>
      </c>
      <c r="G64" s="87">
        <v>-51784703.86655803</v>
      </c>
      <c r="H64" s="87">
        <v>-25244713.76619349</v>
      </c>
      <c r="I64" s="87">
        <v>-5665657.5240516476</v>
      </c>
      <c r="J64" s="87">
        <v>8940862.8912768606</v>
      </c>
      <c r="K64" s="84">
        <v>10678003.947228206</v>
      </c>
      <c r="L64" s="84">
        <v>13407489.394761179</v>
      </c>
      <c r="M64" s="84">
        <v>31612298.522598799</v>
      </c>
      <c r="N64" s="84">
        <v>49756482.678601474</v>
      </c>
      <c r="O64" s="84">
        <v>52323549.311759233</v>
      </c>
      <c r="P64" s="84">
        <v>54628429.502974257</v>
      </c>
      <c r="Q64" s="84">
        <v>55095270.51539883</v>
      </c>
      <c r="R64" s="84">
        <v>55094612.404129595</v>
      </c>
      <c r="S64" s="84">
        <v>55095270.51539883</v>
      </c>
      <c r="T64" s="84">
        <v>55094612.404129595</v>
      </c>
      <c r="U64" s="84">
        <v>54629087.614243492</v>
      </c>
      <c r="V64" s="84">
        <v>55094612.404129595</v>
      </c>
      <c r="W64" s="84">
        <v>55095270.51539883</v>
      </c>
      <c r="X64" s="84">
        <v>55094612.404129595</v>
      </c>
      <c r="Y64" s="84">
        <v>55095270.51539883</v>
      </c>
      <c r="Z64" s="84">
        <v>56096675.744643316</v>
      </c>
      <c r="AA64" s="84">
        <v>58031104.887467712</v>
      </c>
      <c r="AB64" s="84">
        <v>58031104.887467712</v>
      </c>
      <c r="AC64" s="84">
        <v>58031104.887467712</v>
      </c>
      <c r="AD64" s="84">
        <v>58031104.887467712</v>
      </c>
      <c r="AE64" s="84">
        <v>57564921.986312374</v>
      </c>
      <c r="AF64" s="84">
        <v>58031104.887467712</v>
      </c>
      <c r="AG64" s="84">
        <v>58031104.887467712</v>
      </c>
      <c r="AH64" s="84">
        <v>58031104.887467712</v>
      </c>
      <c r="AI64" s="84">
        <v>58031104.887467712</v>
      </c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</row>
    <row r="65" spans="1:57" s="85" customFormat="1">
      <c r="A65" s="2" t="s">
        <v>118</v>
      </c>
      <c r="B65" s="2"/>
      <c r="C65" s="2"/>
      <c r="D65" s="2"/>
      <c r="E65" s="2"/>
      <c r="F65" s="84"/>
      <c r="G65" s="87">
        <v>-27133835.120950304</v>
      </c>
      <c r="H65" s="87">
        <v>-78918538.987508327</v>
      </c>
      <c r="I65" s="87">
        <v>-104163252.75370182</v>
      </c>
      <c r="J65" s="87">
        <v>-109828910.27775347</v>
      </c>
      <c r="K65" s="87">
        <v>-100888047.38647661</v>
      </c>
      <c r="L65" s="87">
        <v>-90210043.439248398</v>
      </c>
      <c r="M65" s="87">
        <v>-76802554.044487223</v>
      </c>
      <c r="N65" s="87">
        <v>-45190255.52188842</v>
      </c>
      <c r="O65" s="84">
        <v>0</v>
      </c>
      <c r="P65" s="84">
        <v>0</v>
      </c>
      <c r="Q65" s="84">
        <v>0</v>
      </c>
      <c r="R65" s="84">
        <v>0</v>
      </c>
      <c r="S65" s="84">
        <v>0</v>
      </c>
      <c r="T65" s="84">
        <v>0</v>
      </c>
      <c r="U65" s="84">
        <v>0</v>
      </c>
      <c r="V65" s="84">
        <v>0</v>
      </c>
      <c r="W65" s="84">
        <v>0</v>
      </c>
      <c r="X65" s="84">
        <v>0</v>
      </c>
      <c r="Y65" s="84">
        <v>0</v>
      </c>
      <c r="Z65" s="84">
        <v>0</v>
      </c>
      <c r="AA65" s="84">
        <v>0</v>
      </c>
      <c r="AB65" s="84">
        <v>0</v>
      </c>
      <c r="AC65" s="84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0</v>
      </c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</row>
    <row r="66" spans="1:57" s="85" customFormat="1">
      <c r="A66" s="2" t="s">
        <v>119</v>
      </c>
      <c r="B66" s="2"/>
      <c r="C66" s="2"/>
      <c r="D66" s="2"/>
      <c r="E66" s="2"/>
      <c r="F66" s="87">
        <v>-27133835.120950304</v>
      </c>
      <c r="G66" s="87">
        <v>-78918538.987508327</v>
      </c>
      <c r="H66" s="87">
        <v>-104163252.75370182</v>
      </c>
      <c r="I66" s="87">
        <v>-109828910.27775347</v>
      </c>
      <c r="J66" s="87">
        <v>-100888047.38647661</v>
      </c>
      <c r="K66" s="87">
        <v>-90210043.439248398</v>
      </c>
      <c r="L66" s="87">
        <v>-76802554.044487223</v>
      </c>
      <c r="M66" s="87">
        <v>-45190255.52188842</v>
      </c>
      <c r="N66" s="84">
        <v>4566227.1567130536</v>
      </c>
      <c r="O66" s="84">
        <v>52323549.311759233</v>
      </c>
      <c r="P66" s="84">
        <v>54628429.502974257</v>
      </c>
      <c r="Q66" s="84">
        <v>55095270.51539883</v>
      </c>
      <c r="R66" s="84">
        <v>55094612.404129595</v>
      </c>
      <c r="S66" s="84">
        <v>55095270.51539883</v>
      </c>
      <c r="T66" s="84">
        <v>55094612.404129595</v>
      </c>
      <c r="U66" s="84">
        <v>54629087.614243492</v>
      </c>
      <c r="V66" s="84">
        <v>55094612.404129595</v>
      </c>
      <c r="W66" s="84">
        <v>55095270.51539883</v>
      </c>
      <c r="X66" s="84">
        <v>55094612.404129595</v>
      </c>
      <c r="Y66" s="84">
        <v>55095270.51539883</v>
      </c>
      <c r="Z66" s="84">
        <v>56096675.744643316</v>
      </c>
      <c r="AA66" s="84">
        <v>58031104.887467712</v>
      </c>
      <c r="AB66" s="84">
        <v>58031104.887467712</v>
      </c>
      <c r="AC66" s="84">
        <v>58031104.887467712</v>
      </c>
      <c r="AD66" s="84">
        <v>58031104.887467712</v>
      </c>
      <c r="AE66" s="84">
        <v>57564921.986312374</v>
      </c>
      <c r="AF66" s="84">
        <v>58031104.887467712</v>
      </c>
      <c r="AG66" s="84">
        <v>58031104.887467712</v>
      </c>
      <c r="AH66" s="84">
        <v>58031104.887467712</v>
      </c>
      <c r="AI66" s="84">
        <v>58031104.887467712</v>
      </c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</row>
    <row r="67" spans="1:57" s="85" customFormat="1" ht="14" thickBot="1">
      <c r="A67" s="88" t="s">
        <v>120</v>
      </c>
      <c r="B67" s="88"/>
      <c r="C67" s="88"/>
      <c r="D67" s="88"/>
      <c r="E67" s="88"/>
      <c r="F67" s="90">
        <v>0</v>
      </c>
      <c r="G67" s="90">
        <v>0</v>
      </c>
      <c r="H67" s="90">
        <v>0</v>
      </c>
      <c r="I67" s="90">
        <v>0</v>
      </c>
      <c r="J67" s="90">
        <v>0</v>
      </c>
      <c r="K67" s="90">
        <v>0</v>
      </c>
      <c r="L67" s="90">
        <v>0</v>
      </c>
      <c r="M67" s="90">
        <v>0</v>
      </c>
      <c r="N67" s="90">
        <v>1598179.5048495687</v>
      </c>
      <c r="O67" s="90">
        <v>18313242.259115729</v>
      </c>
      <c r="P67" s="90">
        <v>19119950.326040987</v>
      </c>
      <c r="Q67" s="90">
        <v>19283344.680389591</v>
      </c>
      <c r="R67" s="90">
        <v>19283114.341445357</v>
      </c>
      <c r="S67" s="90">
        <v>19283344.680389591</v>
      </c>
      <c r="T67" s="90">
        <v>19283114.341445357</v>
      </c>
      <c r="U67" s="90">
        <v>19120180.664985221</v>
      </c>
      <c r="V67" s="90">
        <v>19283114.341445357</v>
      </c>
      <c r="W67" s="90">
        <v>19283344.680389591</v>
      </c>
      <c r="X67" s="90">
        <v>19283114.341445357</v>
      </c>
      <c r="Y67" s="90">
        <v>19283344.680389591</v>
      </c>
      <c r="Z67" s="90">
        <v>19633836.510625158</v>
      </c>
      <c r="AA67" s="90">
        <v>20310886.710613698</v>
      </c>
      <c r="AB67" s="90">
        <v>20310886.710613698</v>
      </c>
      <c r="AC67" s="90">
        <v>20310886.710613698</v>
      </c>
      <c r="AD67" s="90">
        <v>20310886.710613698</v>
      </c>
      <c r="AE67" s="90">
        <v>20147722.695209328</v>
      </c>
      <c r="AF67" s="90">
        <v>20310886.710613698</v>
      </c>
      <c r="AG67" s="90">
        <v>20310886.710613698</v>
      </c>
      <c r="AH67" s="90">
        <v>20310886.710613698</v>
      </c>
      <c r="AI67" s="90">
        <v>20310886.710613698</v>
      </c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</row>
    <row r="68" spans="1:57" s="85" customFormat="1">
      <c r="A68" s="2" t="s">
        <v>121</v>
      </c>
      <c r="B68" s="2"/>
      <c r="C68" s="2"/>
      <c r="D68" s="2"/>
      <c r="E68" s="2"/>
      <c r="F68" s="84">
        <v>8396535.1302686334</v>
      </c>
      <c r="G68" s="84">
        <v>20612868.638333112</v>
      </c>
      <c r="H68" s="84">
        <v>20612868.638333112</v>
      </c>
      <c r="I68" s="84">
        <v>20612868.638333112</v>
      </c>
      <c r="J68" s="84">
        <v>20612868.638333112</v>
      </c>
      <c r="K68" s="84">
        <v>20146685.737177774</v>
      </c>
      <c r="L68" s="84">
        <v>20612868.638333112</v>
      </c>
      <c r="M68" s="84">
        <v>20612868.638333112</v>
      </c>
      <c r="N68" s="84">
        <v>19014689.133483544</v>
      </c>
      <c r="O68" s="84">
        <v>2299626.3792173862</v>
      </c>
      <c r="P68" s="84">
        <v>38444971.660271391</v>
      </c>
      <c r="Q68" s="84">
        <v>38747760.207078122</v>
      </c>
      <c r="R68" s="84">
        <v>38747990.546022356</v>
      </c>
      <c r="S68" s="84">
        <v>38747760.207078122</v>
      </c>
      <c r="T68" s="84">
        <v>38747990.546022356</v>
      </c>
      <c r="U68" s="84">
        <v>38444741.32132715</v>
      </c>
      <c r="V68" s="84">
        <v>38747990.546022356</v>
      </c>
      <c r="W68" s="84">
        <v>38747760.207078122</v>
      </c>
      <c r="X68" s="84">
        <v>38747990.546022356</v>
      </c>
      <c r="Y68" s="84">
        <v>38747760.207078122</v>
      </c>
      <c r="Z68" s="84">
        <v>37931085.475687221</v>
      </c>
      <c r="AA68" s="84">
        <v>37720218.176854014</v>
      </c>
      <c r="AB68" s="84">
        <v>37720218.176854014</v>
      </c>
      <c r="AC68" s="84">
        <v>37720218.176854014</v>
      </c>
      <c r="AD68" s="84">
        <v>37720218.176854014</v>
      </c>
      <c r="AE68" s="84">
        <v>37417199.29110305</v>
      </c>
      <c r="AF68" s="84">
        <v>37720218.176854014</v>
      </c>
      <c r="AG68" s="84">
        <v>37720218.176854014</v>
      </c>
      <c r="AH68" s="84">
        <v>37720218.176854014</v>
      </c>
      <c r="AI68" s="84">
        <v>37720218.176854014</v>
      </c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</row>
    <row r="69" spans="1:57" s="95" customFormat="1">
      <c r="A69" s="94" t="s">
        <v>122</v>
      </c>
      <c r="B69" s="94"/>
      <c r="C69" s="94">
        <v>1.2100000000000002</v>
      </c>
      <c r="D69" s="94">
        <v>1.1000000000000001</v>
      </c>
      <c r="E69" s="94">
        <v>1</v>
      </c>
      <c r="F69" s="94">
        <v>0.90909090909090906</v>
      </c>
      <c r="G69" s="94">
        <v>0.82644628099173545</v>
      </c>
      <c r="H69" s="94">
        <v>0.75131480090157754</v>
      </c>
      <c r="I69" s="94">
        <v>0.68301345536507052</v>
      </c>
      <c r="J69" s="94">
        <v>0.62092132305915493</v>
      </c>
      <c r="K69" s="94">
        <v>0.56447393005377722</v>
      </c>
      <c r="L69" s="94">
        <v>0.51315811823070645</v>
      </c>
      <c r="M69" s="94">
        <v>0.46650738020973315</v>
      </c>
      <c r="N69" s="94">
        <v>0.42409761837248466</v>
      </c>
      <c r="O69" s="94">
        <v>0.38554328942953148</v>
      </c>
      <c r="P69" s="94">
        <v>0.3504938994813922</v>
      </c>
      <c r="Q69" s="94">
        <v>0.31863081771035656</v>
      </c>
      <c r="R69" s="94">
        <v>0.28966437973668779</v>
      </c>
      <c r="S69" s="94">
        <v>0.26333125430607973</v>
      </c>
      <c r="T69" s="94">
        <v>0.23939204936916339</v>
      </c>
      <c r="U69" s="94">
        <v>0.21762913579014853</v>
      </c>
      <c r="V69" s="94">
        <v>0.19784466890013502</v>
      </c>
      <c r="W69" s="94">
        <v>0.17985878990921364</v>
      </c>
      <c r="X69" s="94">
        <v>0.16350799082655781</v>
      </c>
      <c r="Y69" s="94">
        <v>0.14864362802414349</v>
      </c>
      <c r="Z69" s="94">
        <v>0.13513057093103953</v>
      </c>
      <c r="AA69" s="94">
        <v>0.12284597357367227</v>
      </c>
      <c r="AB69" s="94">
        <v>0.11167815779424752</v>
      </c>
      <c r="AC69" s="94">
        <v>0.10152559799477048</v>
      </c>
      <c r="AD69" s="94">
        <v>9.2295998177064048E-2</v>
      </c>
      <c r="AE69" s="94">
        <v>8.3905452888240042E-2</v>
      </c>
      <c r="AF69" s="94">
        <v>7.6277684443854576E-2</v>
      </c>
      <c r="AG69" s="94">
        <v>6.9343349494413245E-2</v>
      </c>
      <c r="AH69" s="94">
        <v>6.3039408631284766E-2</v>
      </c>
      <c r="AI69" s="94">
        <v>0.14864362802414349</v>
      </c>
    </row>
    <row r="70" spans="1:57" s="85" customFormat="1">
      <c r="A70" s="2" t="s">
        <v>123</v>
      </c>
      <c r="B70" s="84">
        <v>237071401.61472711</v>
      </c>
      <c r="C70" s="2"/>
      <c r="D70" s="2"/>
      <c r="E70" s="2"/>
      <c r="F70" s="84">
        <v>7633213.7547896663</v>
      </c>
      <c r="G70" s="84">
        <v>17035428.62672158</v>
      </c>
      <c r="H70" s="84">
        <v>15486753.297019614</v>
      </c>
      <c r="I70" s="84">
        <v>14078866.633654196</v>
      </c>
      <c r="J70" s="84">
        <v>12798969.666958356</v>
      </c>
      <c r="K70" s="84">
        <v>11372278.875623118</v>
      </c>
      <c r="L70" s="84">
        <v>10577660.881783765</v>
      </c>
      <c r="M70" s="84">
        <v>9616055.3470761497</v>
      </c>
      <c r="N70" s="84">
        <v>8064084.3756035352</v>
      </c>
      <c r="O70" s="84">
        <v>886605.51870239421</v>
      </c>
      <c r="P70" s="84">
        <v>13474728.032660132</v>
      </c>
      <c r="Q70" s="84">
        <v>12346230.519226117</v>
      </c>
      <c r="R70" s="84">
        <v>11223912.647556609</v>
      </c>
      <c r="S70" s="84">
        <v>10203496.296881085</v>
      </c>
      <c r="T70" s="84">
        <v>9275960.8657492604</v>
      </c>
      <c r="U70" s="84">
        <v>8366695.8294362407</v>
      </c>
      <c r="V70" s="84">
        <v>7666083.3601233549</v>
      </c>
      <c r="W70" s="84">
        <v>6969125.2625374524</v>
      </c>
      <c r="X70" s="84">
        <v>6335606.0827465719</v>
      </c>
      <c r="Y70" s="84">
        <v>5759607.65498963</v>
      </c>
      <c r="Z70" s="84">
        <v>5125649.2363636754</v>
      </c>
      <c r="AA70" s="84">
        <v>4633776.9253469612</v>
      </c>
      <c r="AB70" s="84">
        <v>4212524.477588146</v>
      </c>
      <c r="AC70" s="84">
        <v>3829567.7068983149</v>
      </c>
      <c r="AD70" s="84">
        <v>3481425.1880893763</v>
      </c>
      <c r="AE70" s="84">
        <v>3139507.0523295356</v>
      </c>
      <c r="AF70" s="84">
        <v>2877210.8992474182</v>
      </c>
      <c r="AG70" s="84">
        <v>2615646.2720431071</v>
      </c>
      <c r="AH70" s="84">
        <v>2377860.2473119153</v>
      </c>
      <c r="AI70" s="84">
        <v>5606870.0796698239</v>
      </c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</row>
    <row r="71" spans="1:57" s="87" customFormat="1">
      <c r="A71" s="86" t="s">
        <v>124</v>
      </c>
      <c r="B71" s="86"/>
      <c r="C71" s="84">
        <v>20383430.28462318</v>
      </c>
      <c r="D71" s="84">
        <v>125499532.81249145</v>
      </c>
      <c r="E71" s="84">
        <v>94573244.823753819</v>
      </c>
      <c r="F71" s="86"/>
      <c r="G71" s="86" t="s">
        <v>99</v>
      </c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>
        <v>-3384806.306141342</v>
      </c>
    </row>
    <row r="72" spans="1:57" s="92" customFormat="1">
      <c r="A72" s="2" t="s">
        <v>125</v>
      </c>
      <c r="B72" s="2"/>
      <c r="C72" s="84"/>
      <c r="D72" s="84"/>
      <c r="E72" s="84">
        <v>0</v>
      </c>
      <c r="F72" s="2"/>
      <c r="G72" s="86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</row>
    <row r="73" spans="1:57" s="92" customFormat="1">
      <c r="A73" s="2"/>
      <c r="B73" s="2"/>
      <c r="C73" s="2"/>
      <c r="D73" s="2"/>
      <c r="E73" s="2"/>
      <c r="F73" s="2"/>
      <c r="G73" s="8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</row>
    <row r="74" spans="1:57" s="92" customFormat="1">
      <c r="A74" s="2"/>
      <c r="B74" s="2"/>
      <c r="C74" s="2"/>
      <c r="D74" s="2"/>
      <c r="E74" s="2"/>
      <c r="F74" s="2"/>
      <c r="G74" s="86" t="s">
        <v>99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</row>
    <row r="75" spans="1:57" s="92" customFormat="1">
      <c r="A75" s="2"/>
      <c r="B75" s="96"/>
      <c r="C75" s="2"/>
      <c r="D75" s="2"/>
      <c r="E75" s="2"/>
      <c r="F75" s="2" t="s">
        <v>126</v>
      </c>
      <c r="G75" s="8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</row>
    <row r="76" spans="1:57" s="92" customFormat="1">
      <c r="A76" s="2"/>
      <c r="B76" s="2"/>
      <c r="C76" s="2"/>
      <c r="D76" s="2"/>
      <c r="E76" s="2"/>
      <c r="F76" s="2" t="s">
        <v>127</v>
      </c>
      <c r="G76" s="86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</row>
    <row r="77" spans="1:57" s="92" customFormat="1">
      <c r="A77" s="2"/>
      <c r="B77" s="2"/>
      <c r="C77" s="2"/>
      <c r="D77" s="2"/>
      <c r="E77" s="2"/>
      <c r="F77" s="2" t="s">
        <v>128</v>
      </c>
      <c r="G77" s="86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</row>
    <row r="78" spans="1:57" s="92" customFormat="1">
      <c r="A78" s="2"/>
      <c r="B78" s="2"/>
      <c r="C78" s="2"/>
      <c r="D78" s="2"/>
      <c r="E78" s="2"/>
      <c r="F78" s="2" t="s">
        <v>129</v>
      </c>
      <c r="G78" s="86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</row>
    <row r="79" spans="1:57" s="92" customFormat="1">
      <c r="A79" s="2"/>
      <c r="B79" s="2"/>
      <c r="C79" s="2"/>
      <c r="D79" s="2"/>
      <c r="E79" s="2"/>
      <c r="F79" s="2"/>
      <c r="G79" s="86" t="s">
        <v>99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</row>
    <row r="80" spans="1:57" s="92" customFormat="1">
      <c r="A80" s="2" t="s">
        <v>130</v>
      </c>
      <c r="B80" s="97">
        <v>73628406.352712467</v>
      </c>
      <c r="C80" s="87"/>
      <c r="D80" s="87"/>
      <c r="E80" s="87"/>
      <c r="F80" s="87">
        <v>0</v>
      </c>
      <c r="G80" s="87">
        <v>0</v>
      </c>
      <c r="H80" s="87">
        <v>0</v>
      </c>
      <c r="I80" s="87">
        <v>0</v>
      </c>
      <c r="J80" s="87">
        <v>0</v>
      </c>
      <c r="K80" s="87">
        <v>0</v>
      </c>
      <c r="L80" s="87">
        <v>0</v>
      </c>
      <c r="M80" s="87">
        <v>0</v>
      </c>
      <c r="N80" s="87">
        <v>677784.12173841894</v>
      </c>
      <c r="O80" s="87">
        <v>7060547.6606993824</v>
      </c>
      <c r="P80" s="87">
        <v>6701425.9476646213</v>
      </c>
      <c r="Q80" s="87">
        <v>6144267.8837031899</v>
      </c>
      <c r="R80" s="87">
        <v>5585631.3551063985</v>
      </c>
      <c r="S80" s="87">
        <v>5077907.3419034611</v>
      </c>
      <c r="T80" s="87">
        <v>4616224.2604185091</v>
      </c>
      <c r="U80" s="87">
        <v>4161108.3942722413</v>
      </c>
      <c r="V80" s="87">
        <v>3815061.3722467017</v>
      </c>
      <c r="W80" s="87">
        <v>3468279.039617144</v>
      </c>
      <c r="X80" s="87">
        <v>3152943.2828485128</v>
      </c>
      <c r="Y80" s="87">
        <v>2866346.3137331763</v>
      </c>
      <c r="Z80" s="87">
        <v>2653131.5372474664</v>
      </c>
      <c r="AA80" s="87">
        <v>2495110.6521099019</v>
      </c>
      <c r="AB80" s="87">
        <v>2268282.4110090015</v>
      </c>
      <c r="AC80" s="87">
        <v>2062074.9190990925</v>
      </c>
      <c r="AD80" s="87">
        <v>1874613.5628173563</v>
      </c>
      <c r="AE80" s="87">
        <v>1690503.797408211</v>
      </c>
      <c r="AF80" s="87">
        <v>1549267.407287071</v>
      </c>
      <c r="AG80" s="87">
        <v>1408424.9157155191</v>
      </c>
      <c r="AH80" s="87">
        <v>1280386.2870141082</v>
      </c>
      <c r="AI80" s="87">
        <v>3019083.889052982</v>
      </c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</row>
    <row r="81" spans="1:57" s="92" customFormat="1">
      <c r="A81" s="2" t="s">
        <v>131</v>
      </c>
      <c r="B81" s="97">
        <v>1012217943.5562403</v>
      </c>
      <c r="C81" s="87"/>
      <c r="D81" s="87"/>
      <c r="E81" s="87"/>
      <c r="F81" s="87">
        <v>85614724.279098809</v>
      </c>
      <c r="G81" s="87">
        <v>88950362.887375385</v>
      </c>
      <c r="H81" s="87">
        <v>80863966.261250332</v>
      </c>
      <c r="I81" s="87">
        <v>73512696.60113667</v>
      </c>
      <c r="J81" s="87">
        <v>66829724.182851508</v>
      </c>
      <c r="K81" s="87">
        <v>60754294.711683191</v>
      </c>
      <c r="L81" s="87">
        <v>55231177.010621071</v>
      </c>
      <c r="M81" s="87">
        <v>50210160.918746427</v>
      </c>
      <c r="N81" s="87">
        <v>45645600.835224025</v>
      </c>
      <c r="O81" s="87">
        <v>41496000.759294562</v>
      </c>
      <c r="P81" s="87">
        <v>37723637.053904139</v>
      </c>
      <c r="Q81" s="87">
        <v>34294215.503549218</v>
      </c>
      <c r="R81" s="87">
        <v>31176559.54868111</v>
      </c>
      <c r="S81" s="87">
        <v>28342326.862437364</v>
      </c>
      <c r="T81" s="87">
        <v>25765751.693124879</v>
      </c>
      <c r="U81" s="87">
        <v>23423410.630113523</v>
      </c>
      <c r="V81" s="87">
        <v>21294009.663739566</v>
      </c>
      <c r="W81" s="87">
        <v>19358190.603399605</v>
      </c>
      <c r="X81" s="87">
        <v>17598355.093999635</v>
      </c>
      <c r="Y81" s="87">
        <v>15998504.630908763</v>
      </c>
      <c r="Z81" s="87">
        <v>14544095.119007966</v>
      </c>
      <c r="AA81" s="87">
        <v>13221904.653643603</v>
      </c>
      <c r="AB81" s="87">
        <v>12019913.321494183</v>
      </c>
      <c r="AC81" s="87">
        <v>10927193.928631077</v>
      </c>
      <c r="AD81" s="87">
        <v>9933812.6623918861</v>
      </c>
      <c r="AE81" s="87">
        <v>9030738.783992622</v>
      </c>
      <c r="AF81" s="87">
        <v>8209762.5309023838</v>
      </c>
      <c r="AG81" s="87">
        <v>7463420.4826385295</v>
      </c>
      <c r="AH81" s="87">
        <v>6784927.7114895722</v>
      </c>
      <c r="AI81" s="87">
        <v>15998504.630908763</v>
      </c>
      <c r="AJ81" s="2"/>
      <c r="AK81" s="86">
        <f>SUM(C81:AI81)</f>
        <v>1012217943.5562403</v>
      </c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</row>
    <row r="82" spans="1:57" s="5" customFormat="1">
      <c r="G82" s="5" t="s">
        <v>99</v>
      </c>
    </row>
    <row r="83" spans="1:57" s="5" customFormat="1">
      <c r="G83" s="5" t="s">
        <v>99</v>
      </c>
    </row>
    <row r="84" spans="1:57" s="5" customFormat="1">
      <c r="G84" s="5" t="s">
        <v>99</v>
      </c>
      <c r="H84" s="5">
        <v>0.32</v>
      </c>
      <c r="I84" s="5">
        <v>0.192</v>
      </c>
      <c r="J84" s="5">
        <v>0.1152</v>
      </c>
      <c r="K84" s="5">
        <v>0.1152</v>
      </c>
      <c r="L84" s="5">
        <v>5.7599999999999998E-2</v>
      </c>
    </row>
    <row r="85" spans="1:57" s="5" customFormat="1">
      <c r="G85" s="5" t="s">
        <v>99</v>
      </c>
      <c r="H85" s="5">
        <v>0.16</v>
      </c>
      <c r="I85" s="5">
        <v>9.6000000000000002E-2</v>
      </c>
      <c r="J85" s="5">
        <v>5.7599999999999998E-2</v>
      </c>
      <c r="K85" s="5">
        <v>5.7599999999999998E-2</v>
      </c>
      <c r="L85" s="5">
        <v>2.8799999999999999E-2</v>
      </c>
    </row>
    <row r="86" spans="1:57" s="5" customFormat="1">
      <c r="G86" s="5" t="s">
        <v>99</v>
      </c>
    </row>
    <row r="87" spans="1:57">
      <c r="G87" s="6" t="s">
        <v>99</v>
      </c>
    </row>
    <row r="88" spans="1:57">
      <c r="G88" s="6" t="s">
        <v>99</v>
      </c>
    </row>
    <row r="89" spans="1:57">
      <c r="G89" s="6" t="s">
        <v>99</v>
      </c>
    </row>
    <row r="90" spans="1:57">
      <c r="G90" s="6" t="s">
        <v>99</v>
      </c>
    </row>
    <row r="91" spans="1:57">
      <c r="G91" s="6" t="s">
        <v>99</v>
      </c>
    </row>
    <row r="92" spans="1:57">
      <c r="G92" s="6" t="s">
        <v>99</v>
      </c>
    </row>
    <row r="93" spans="1:57">
      <c r="G93" s="6" t="s">
        <v>99</v>
      </c>
    </row>
    <row r="94" spans="1:57">
      <c r="G94" s="6" t="s">
        <v>99</v>
      </c>
    </row>
    <row r="95" spans="1:57">
      <c r="G95" s="6" t="s">
        <v>99</v>
      </c>
    </row>
    <row r="96" spans="1:57">
      <c r="G96" s="6" t="s">
        <v>99</v>
      </c>
    </row>
    <row r="97" spans="7:7">
      <c r="G97" s="6" t="s">
        <v>99</v>
      </c>
    </row>
    <row r="98" spans="7:7">
      <c r="G98" s="6" t="s">
        <v>99</v>
      </c>
    </row>
    <row r="99" spans="7:7">
      <c r="G99" s="6" t="s">
        <v>99</v>
      </c>
    </row>
    <row r="100" spans="7:7">
      <c r="G100" s="6" t="s">
        <v>99</v>
      </c>
    </row>
    <row r="101" spans="7:7">
      <c r="G101" s="6" t="s">
        <v>99</v>
      </c>
    </row>
    <row r="102" spans="7:7">
      <c r="G102" s="6" t="s">
        <v>99</v>
      </c>
    </row>
    <row r="103" spans="7:7">
      <c r="G103" s="6" t="s">
        <v>99</v>
      </c>
    </row>
    <row r="104" spans="7:7">
      <c r="G104" s="6" t="s">
        <v>99</v>
      </c>
    </row>
    <row r="105" spans="7:7">
      <c r="G105" s="6" t="s">
        <v>99</v>
      </c>
    </row>
    <row r="106" spans="7:7">
      <c r="G106" s="6" t="s">
        <v>99</v>
      </c>
    </row>
    <row r="107" spans="7:7">
      <c r="G107" s="6" t="s">
        <v>99</v>
      </c>
    </row>
    <row r="108" spans="7:7">
      <c r="G108" s="6" t="s">
        <v>99</v>
      </c>
    </row>
    <row r="109" spans="7:7">
      <c r="G109" s="6" t="s">
        <v>99</v>
      </c>
    </row>
    <row r="110" spans="7:7">
      <c r="G110" s="6" t="s">
        <v>99</v>
      </c>
    </row>
    <row r="111" spans="7:7">
      <c r="G111" s="6" t="s">
        <v>99</v>
      </c>
    </row>
    <row r="112" spans="7:7">
      <c r="G112" s="6" t="s">
        <v>99</v>
      </c>
    </row>
    <row r="113" spans="7:7">
      <c r="G113" s="6" t="s">
        <v>99</v>
      </c>
    </row>
    <row r="114" spans="7:7">
      <c r="G114" s="6" t="s">
        <v>99</v>
      </c>
    </row>
    <row r="115" spans="7:7">
      <c r="G115" s="6" t="s">
        <v>99</v>
      </c>
    </row>
    <row r="116" spans="7:7">
      <c r="G116" s="6" t="s">
        <v>99</v>
      </c>
    </row>
    <row r="117" spans="7:7">
      <c r="G117" s="6" t="s">
        <v>99</v>
      </c>
    </row>
    <row r="118" spans="7:7">
      <c r="G118" s="6" t="s">
        <v>99</v>
      </c>
    </row>
    <row r="119" spans="7:7">
      <c r="G119" s="6" t="s">
        <v>99</v>
      </c>
    </row>
    <row r="120" spans="7:7">
      <c r="G120" s="6" t="s">
        <v>99</v>
      </c>
    </row>
    <row r="121" spans="7:7">
      <c r="G121" s="6" t="s">
        <v>99</v>
      </c>
    </row>
    <row r="122" spans="7:7">
      <c r="G122" s="6" t="s">
        <v>99</v>
      </c>
    </row>
    <row r="123" spans="7:7">
      <c r="G123" s="6" t="s">
        <v>99</v>
      </c>
    </row>
    <row r="124" spans="7:7">
      <c r="G124" s="6" t="s">
        <v>99</v>
      </c>
    </row>
    <row r="125" spans="7:7">
      <c r="G125" s="6" t="s">
        <v>99</v>
      </c>
    </row>
  </sheetData>
  <printOptions horizontalCentered="1" gridLinesSet="0"/>
  <pageMargins left="0.75" right="0.75" top="0.75" bottom="0.75" header="0.5" footer="0.5"/>
  <pageSetup scale="43" fitToWidth="2" fitToHeight="0" orientation="landscape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zoomScale="75" zoomScaleNormal="75" zoomScalePageLayoutView="75" workbookViewId="0">
      <selection activeCell="B20" sqref="B20"/>
    </sheetView>
  </sheetViews>
  <sheetFormatPr baseColWidth="10" defaultRowHeight="15" x14ac:dyDescent="0"/>
  <cols>
    <col min="1" max="1" width="31.83203125" style="252" bestFit="1" customWidth="1"/>
    <col min="2" max="2" width="23.6640625" style="128" bestFit="1" customWidth="1"/>
    <col min="3" max="3" width="13" style="128" bestFit="1" customWidth="1"/>
    <col min="4" max="4" width="49.6640625" style="128" bestFit="1" customWidth="1"/>
    <col min="5" max="12" width="10.83203125" style="128"/>
    <col min="13" max="13" width="18" style="128" customWidth="1"/>
    <col min="14" max="16384" width="10.83203125" style="128"/>
  </cols>
  <sheetData>
    <row r="1" spans="1:4" ht="17">
      <c r="A1" s="302" t="s">
        <v>398</v>
      </c>
    </row>
    <row r="2" spans="1:4" ht="18">
      <c r="A2" s="264" t="s">
        <v>263</v>
      </c>
      <c r="B2" s="264"/>
      <c r="C2" s="264"/>
      <c r="D2" s="264"/>
    </row>
    <row r="3" spans="1:4">
      <c r="A3" s="247" t="s">
        <v>264</v>
      </c>
      <c r="B3" s="191" t="s">
        <v>9</v>
      </c>
      <c r="C3" s="191" t="s">
        <v>172</v>
      </c>
      <c r="D3" s="191" t="s">
        <v>265</v>
      </c>
    </row>
    <row r="4" spans="1:4">
      <c r="A4" s="248" t="s">
        <v>266</v>
      </c>
      <c r="B4" s="193">
        <v>6906</v>
      </c>
      <c r="C4" s="192" t="s">
        <v>267</v>
      </c>
      <c r="D4" s="192" t="s">
        <v>268</v>
      </c>
    </row>
    <row r="5" spans="1:4">
      <c r="A5" s="248" t="s">
        <v>266</v>
      </c>
      <c r="B5" s="194">
        <f>B4*0.000380407753788</f>
        <v>2.627095947659928</v>
      </c>
      <c r="C5" s="192" t="s">
        <v>269</v>
      </c>
      <c r="D5" s="192"/>
    </row>
    <row r="6" spans="1:4">
      <c r="A6" s="248" t="s">
        <v>270</v>
      </c>
      <c r="B6" s="195">
        <v>6</v>
      </c>
      <c r="C6" s="192" t="s">
        <v>271</v>
      </c>
      <c r="D6" s="192" t="s">
        <v>272</v>
      </c>
    </row>
    <row r="7" spans="1:4">
      <c r="A7" s="248" t="s">
        <v>273</v>
      </c>
      <c r="B7" s="196">
        <f>B6*B5</f>
        <v>15.762575685959568</v>
      </c>
      <c r="C7" s="192" t="s">
        <v>184</v>
      </c>
      <c r="D7" s="192"/>
    </row>
    <row r="8" spans="1:4">
      <c r="A8" s="248" t="s">
        <v>274</v>
      </c>
      <c r="B8" s="195">
        <v>4</v>
      </c>
      <c r="C8" s="192"/>
      <c r="D8" s="192"/>
    </row>
    <row r="9" spans="1:4">
      <c r="A9" s="248" t="s">
        <v>275</v>
      </c>
      <c r="B9" s="196">
        <f>B7/B8</f>
        <v>3.9406439214898921</v>
      </c>
      <c r="C9" s="192" t="s">
        <v>184</v>
      </c>
      <c r="D9" s="192"/>
    </row>
    <row r="10" spans="1:4" ht="16">
      <c r="A10" s="248" t="s">
        <v>276</v>
      </c>
      <c r="B10" s="195">
        <v>0.6</v>
      </c>
      <c r="C10" s="192"/>
      <c r="D10" s="192" t="s">
        <v>277</v>
      </c>
    </row>
    <row r="11" spans="1:4" ht="16">
      <c r="A11" s="248" t="s">
        <v>278</v>
      </c>
      <c r="B11" s="196">
        <v>1</v>
      </c>
      <c r="C11" s="192"/>
      <c r="D11" s="192" t="s">
        <v>279</v>
      </c>
    </row>
    <row r="12" spans="1:4">
      <c r="A12" s="248" t="s">
        <v>280</v>
      </c>
      <c r="B12" s="195">
        <v>31</v>
      </c>
      <c r="C12" s="192" t="s">
        <v>184</v>
      </c>
      <c r="D12" s="192" t="s">
        <v>281</v>
      </c>
    </row>
    <row r="13" spans="1:4">
      <c r="A13" s="248" t="s">
        <v>282</v>
      </c>
      <c r="B13" s="196">
        <v>4</v>
      </c>
      <c r="C13" s="192" t="s">
        <v>184</v>
      </c>
      <c r="D13" s="192"/>
    </row>
    <row r="14" spans="1:4">
      <c r="A14" s="248" t="s">
        <v>283</v>
      </c>
      <c r="B14" s="197">
        <v>27000000</v>
      </c>
      <c r="C14" s="192"/>
      <c r="D14" s="192"/>
    </row>
    <row r="15" spans="1:4">
      <c r="A15" s="248" t="s">
        <v>284</v>
      </c>
      <c r="B15" s="197">
        <f>(B13/B12)^B10*B14</f>
        <v>7902831.8714881642</v>
      </c>
      <c r="C15" s="192"/>
      <c r="D15" s="192"/>
    </row>
    <row r="16" spans="1:4">
      <c r="A16" s="248" t="s">
        <v>7</v>
      </c>
      <c r="B16" s="197">
        <f>B15*B11</f>
        <v>7902831.8714881642</v>
      </c>
      <c r="C16" s="192"/>
      <c r="D16" s="192"/>
    </row>
    <row r="17" spans="1:7">
      <c r="A17" s="248" t="s">
        <v>168</v>
      </c>
      <c r="B17" s="198">
        <v>2010</v>
      </c>
      <c r="C17" s="192"/>
      <c r="D17" s="192"/>
    </row>
    <row r="18" spans="1:7">
      <c r="A18" s="248" t="s">
        <v>285</v>
      </c>
      <c r="B18" s="199">
        <v>550.79999999999995</v>
      </c>
      <c r="C18" s="192"/>
      <c r="D18" s="192"/>
    </row>
    <row r="19" spans="1:7">
      <c r="A19" s="248" t="s">
        <v>286</v>
      </c>
      <c r="B19" s="200">
        <v>525.4</v>
      </c>
      <c r="C19" s="192"/>
      <c r="D19" s="192"/>
    </row>
    <row r="20" spans="1:7">
      <c r="A20" s="249" t="s">
        <v>287</v>
      </c>
      <c r="B20" s="201">
        <f>B16*(B19/B18)</f>
        <v>7538394.8171384921</v>
      </c>
      <c r="C20" s="192"/>
      <c r="D20" s="192"/>
    </row>
    <row r="21" spans="1:7" ht="18">
      <c r="A21" s="264" t="s">
        <v>185</v>
      </c>
      <c r="B21" s="264"/>
      <c r="C21" s="264"/>
      <c r="D21" s="264"/>
    </row>
    <row r="22" spans="1:7">
      <c r="A22" s="247" t="s">
        <v>264</v>
      </c>
      <c r="B22" s="191" t="s">
        <v>9</v>
      </c>
      <c r="C22" s="191" t="s">
        <v>172</v>
      </c>
      <c r="D22" s="191" t="s">
        <v>265</v>
      </c>
    </row>
    <row r="23" spans="1:7">
      <c r="A23" s="248" t="s">
        <v>288</v>
      </c>
      <c r="B23" s="195">
        <v>4</v>
      </c>
      <c r="C23" s="192"/>
      <c r="D23" s="192"/>
    </row>
    <row r="24" spans="1:7" ht="16">
      <c r="A24" s="248" t="s">
        <v>276</v>
      </c>
      <c r="B24" s="195">
        <v>0.6</v>
      </c>
      <c r="C24" s="192"/>
      <c r="D24" s="192" t="s">
        <v>277</v>
      </c>
    </row>
    <row r="25" spans="1:7" ht="16">
      <c r="A25" s="248" t="s">
        <v>278</v>
      </c>
      <c r="B25" s="196">
        <v>1</v>
      </c>
      <c r="C25" s="192"/>
      <c r="D25" s="192" t="s">
        <v>289</v>
      </c>
    </row>
    <row r="26" spans="1:7">
      <c r="A26" s="248" t="s">
        <v>280</v>
      </c>
      <c r="B26" s="202">
        <v>393100</v>
      </c>
      <c r="C26" s="192" t="s">
        <v>290</v>
      </c>
      <c r="D26" s="192" t="s">
        <v>291</v>
      </c>
      <c r="G26" s="203"/>
    </row>
    <row r="27" spans="1:7">
      <c r="A27" s="248" t="s">
        <v>282</v>
      </c>
      <c r="B27" s="202">
        <v>405430</v>
      </c>
      <c r="C27" s="192" t="s">
        <v>143</v>
      </c>
      <c r="D27" s="192"/>
      <c r="G27" s="203"/>
    </row>
    <row r="28" spans="1:7">
      <c r="A28" s="248" t="s">
        <v>283</v>
      </c>
      <c r="B28" s="204">
        <v>231488</v>
      </c>
      <c r="C28" s="192"/>
      <c r="D28" s="192"/>
      <c r="G28" s="203"/>
    </row>
    <row r="29" spans="1:7">
      <c r="A29" s="248" t="s">
        <v>284</v>
      </c>
      <c r="B29" s="197">
        <f>(B27/B26)^B24*B28</f>
        <v>235817.58382056159</v>
      </c>
      <c r="C29" s="192"/>
      <c r="D29" s="192"/>
      <c r="G29" s="203"/>
    </row>
    <row r="30" spans="1:7">
      <c r="A30" s="248" t="s">
        <v>7</v>
      </c>
      <c r="B30" s="197">
        <f>B29*B25</f>
        <v>235817.58382056159</v>
      </c>
      <c r="C30" s="192"/>
      <c r="D30" s="192"/>
    </row>
    <row r="31" spans="1:7">
      <c r="A31" s="248" t="s">
        <v>168</v>
      </c>
      <c r="B31" s="205">
        <v>2010</v>
      </c>
      <c r="C31" s="192"/>
      <c r="D31" s="192"/>
    </row>
    <row r="32" spans="1:7">
      <c r="A32" s="248" t="s">
        <v>285</v>
      </c>
      <c r="B32" s="199">
        <v>550.79999999999995</v>
      </c>
      <c r="C32" s="192"/>
      <c r="D32" s="192"/>
    </row>
    <row r="33" spans="1:4">
      <c r="A33" s="248" t="s">
        <v>286</v>
      </c>
      <c r="B33" s="200">
        <v>525.4</v>
      </c>
      <c r="C33" s="192"/>
      <c r="D33" s="192"/>
    </row>
    <row r="34" spans="1:4">
      <c r="A34" s="249" t="s">
        <v>287</v>
      </c>
      <c r="B34" s="201">
        <f>B30*(B33/B32)</f>
        <v>224942.91673805928</v>
      </c>
      <c r="C34" s="192"/>
      <c r="D34" s="192"/>
    </row>
    <row r="35" spans="1:4" ht="18">
      <c r="A35" s="264" t="s">
        <v>292</v>
      </c>
      <c r="B35" s="264"/>
      <c r="C35" s="264"/>
      <c r="D35" s="264"/>
    </row>
    <row r="36" spans="1:4">
      <c r="A36" s="247" t="s">
        <v>264</v>
      </c>
      <c r="B36" s="191" t="s">
        <v>9</v>
      </c>
      <c r="C36" s="191" t="s">
        <v>172</v>
      </c>
      <c r="D36" s="191" t="s">
        <v>265</v>
      </c>
    </row>
    <row r="37" spans="1:4">
      <c r="A37" s="248" t="s">
        <v>288</v>
      </c>
      <c r="B37" s="195">
        <v>4</v>
      </c>
      <c r="C37" s="192"/>
      <c r="D37" s="192"/>
    </row>
    <row r="38" spans="1:4">
      <c r="A38" s="248" t="s">
        <v>293</v>
      </c>
      <c r="B38" s="195">
        <v>0.6</v>
      </c>
      <c r="C38" s="192"/>
      <c r="D38" s="192" t="s">
        <v>277</v>
      </c>
    </row>
    <row r="39" spans="1:4">
      <c r="A39" s="248" t="s">
        <v>294</v>
      </c>
      <c r="B39" s="196">
        <v>1</v>
      </c>
      <c r="C39" s="192"/>
      <c r="D39" s="192" t="s">
        <v>289</v>
      </c>
    </row>
    <row r="40" spans="1:4">
      <c r="A40" s="248" t="s">
        <v>280</v>
      </c>
      <c r="B40" s="202">
        <v>393100</v>
      </c>
      <c r="C40" s="192" t="s">
        <v>290</v>
      </c>
      <c r="D40" s="192" t="s">
        <v>291</v>
      </c>
    </row>
    <row r="41" spans="1:4">
      <c r="A41" s="248" t="s">
        <v>282</v>
      </c>
      <c r="B41" s="202">
        <v>405430</v>
      </c>
      <c r="C41" s="192" t="s">
        <v>143</v>
      </c>
      <c r="D41" s="192"/>
    </row>
    <row r="42" spans="1:4">
      <c r="A42" s="248" t="s">
        <v>283</v>
      </c>
      <c r="B42" s="197">
        <v>30400</v>
      </c>
      <c r="C42" s="192"/>
      <c r="D42" s="192"/>
    </row>
    <row r="43" spans="1:4">
      <c r="A43" s="248" t="s">
        <v>284</v>
      </c>
      <c r="B43" s="197">
        <f>(B41/B40)^B38*B42</f>
        <v>30968.579572785944</v>
      </c>
      <c r="C43" s="192"/>
      <c r="D43" s="192"/>
    </row>
    <row r="44" spans="1:4">
      <c r="A44" s="248" t="s">
        <v>7</v>
      </c>
      <c r="B44" s="197">
        <f>B43*B39</f>
        <v>30968.579572785944</v>
      </c>
      <c r="C44" s="192"/>
      <c r="D44" s="192"/>
    </row>
    <row r="45" spans="1:4">
      <c r="A45" s="248" t="s">
        <v>168</v>
      </c>
      <c r="B45" s="206">
        <v>2010</v>
      </c>
      <c r="C45" s="192"/>
      <c r="D45" s="192"/>
    </row>
    <row r="46" spans="1:4">
      <c r="A46" s="248" t="s">
        <v>285</v>
      </c>
      <c r="B46" s="199">
        <v>550.79999999999995</v>
      </c>
      <c r="C46" s="192"/>
      <c r="D46" s="192"/>
    </row>
    <row r="47" spans="1:4">
      <c r="A47" s="248" t="s">
        <v>286</v>
      </c>
      <c r="B47" s="200">
        <v>525.4</v>
      </c>
      <c r="C47" s="192"/>
      <c r="D47" s="192"/>
    </row>
    <row r="48" spans="1:4">
      <c r="A48" s="249" t="s">
        <v>295</v>
      </c>
      <c r="B48" s="201">
        <f>B44*(B47/B46)</f>
        <v>29540.471509698138</v>
      </c>
      <c r="C48" s="192"/>
      <c r="D48" s="192"/>
    </row>
    <row r="49" spans="1:4" ht="18">
      <c r="A49" s="264" t="s">
        <v>189</v>
      </c>
      <c r="B49" s="264"/>
      <c r="C49" s="264"/>
      <c r="D49" s="264"/>
    </row>
    <row r="50" spans="1:4">
      <c r="A50" s="247" t="s">
        <v>264</v>
      </c>
      <c r="B50" s="191" t="s">
        <v>9</v>
      </c>
      <c r="C50" s="191" t="s">
        <v>172</v>
      </c>
      <c r="D50" s="191" t="s">
        <v>265</v>
      </c>
    </row>
    <row r="51" spans="1:4">
      <c r="A51" s="250" t="s">
        <v>296</v>
      </c>
      <c r="B51" s="208">
        <f>Table_S11!D74+Table_S11!I74</f>
        <v>7089.9070000000002</v>
      </c>
      <c r="C51" s="209" t="s">
        <v>267</v>
      </c>
      <c r="D51" s="209" t="s">
        <v>297</v>
      </c>
    </row>
    <row r="52" spans="1:4" ht="16">
      <c r="A52" s="250" t="s">
        <v>296</v>
      </c>
      <c r="B52" s="208">
        <v>15022</v>
      </c>
      <c r="C52" s="209" t="s">
        <v>298</v>
      </c>
      <c r="D52" s="207"/>
    </row>
    <row r="53" spans="1:4" ht="16">
      <c r="A53" s="250" t="s">
        <v>299</v>
      </c>
      <c r="B53" s="209">
        <v>120</v>
      </c>
      <c r="C53" s="209" t="s">
        <v>300</v>
      </c>
      <c r="D53" s="207" t="s">
        <v>301</v>
      </c>
    </row>
    <row r="54" spans="1:4" ht="16">
      <c r="A54" s="250" t="s">
        <v>302</v>
      </c>
      <c r="B54" s="210">
        <f>B52/B53</f>
        <v>125.18333333333334</v>
      </c>
      <c r="C54" s="209" t="s">
        <v>303</v>
      </c>
      <c r="D54" s="207"/>
    </row>
    <row r="55" spans="1:4">
      <c r="A55" s="250" t="s">
        <v>304</v>
      </c>
      <c r="B55" s="211">
        <f>1/0.6</f>
        <v>1.6666666666666667</v>
      </c>
      <c r="C55" s="209"/>
      <c r="D55" s="207"/>
    </row>
    <row r="56" spans="1:4" ht="16">
      <c r="A56" s="250" t="s">
        <v>305</v>
      </c>
      <c r="B56" s="210">
        <f>B54*B55</f>
        <v>208.63888888888891</v>
      </c>
      <c r="C56" s="209" t="s">
        <v>303</v>
      </c>
      <c r="D56" s="207"/>
    </row>
    <row r="57" spans="1:4">
      <c r="A57" s="250" t="s">
        <v>306</v>
      </c>
      <c r="B57" s="209">
        <v>2</v>
      </c>
      <c r="C57" s="209"/>
      <c r="D57" s="207"/>
    </row>
    <row r="58" spans="1:4">
      <c r="A58" s="250" t="s">
        <v>307</v>
      </c>
      <c r="B58" s="210">
        <f>B56/B57</f>
        <v>104.31944444444446</v>
      </c>
      <c r="C58" s="209"/>
      <c r="D58" s="207"/>
    </row>
    <row r="59" spans="1:4">
      <c r="A59" s="250" t="s">
        <v>308</v>
      </c>
      <c r="B59" s="212">
        <f>(B58*4/PI())^0.5</f>
        <v>11.524913967204682</v>
      </c>
      <c r="C59" s="209" t="s">
        <v>309</v>
      </c>
      <c r="D59" s="207"/>
    </row>
    <row r="60" spans="1:4">
      <c r="A60" s="250" t="s">
        <v>310</v>
      </c>
      <c r="B60" s="212">
        <v>15</v>
      </c>
      <c r="C60" s="209"/>
      <c r="D60" s="207"/>
    </row>
    <row r="61" spans="1:4">
      <c r="A61" s="250" t="s">
        <v>311</v>
      </c>
      <c r="B61" s="212">
        <v>3</v>
      </c>
      <c r="C61" s="209" t="s">
        <v>309</v>
      </c>
      <c r="D61" s="207"/>
    </row>
    <row r="62" spans="1:4">
      <c r="A62" s="250" t="s">
        <v>312</v>
      </c>
      <c r="B62" s="212">
        <f>B61*B60</f>
        <v>45</v>
      </c>
      <c r="C62" s="209"/>
      <c r="D62" s="207"/>
    </row>
    <row r="63" spans="1:4">
      <c r="A63" s="250" t="s">
        <v>313</v>
      </c>
      <c r="B63" s="212">
        <v>3</v>
      </c>
      <c r="C63" s="209" t="s">
        <v>309</v>
      </c>
      <c r="D63" s="207"/>
    </row>
    <row r="64" spans="1:4" ht="16">
      <c r="A64" s="250" t="s">
        <v>314</v>
      </c>
      <c r="B64" s="208">
        <f>B62*B58</f>
        <v>4694.3750000000009</v>
      </c>
      <c r="C64" s="209" t="s">
        <v>315</v>
      </c>
      <c r="D64" s="207"/>
    </row>
    <row r="65" spans="1:14" ht="16">
      <c r="A65" s="250" t="s">
        <v>316</v>
      </c>
      <c r="B65" s="208">
        <f>B64+B63*B58</f>
        <v>5007.3333333333339</v>
      </c>
      <c r="C65" s="209" t="s">
        <v>315</v>
      </c>
      <c r="D65" s="207"/>
      <c r="K65" s="213"/>
    </row>
    <row r="66" spans="1:14">
      <c r="A66" s="250" t="s">
        <v>317</v>
      </c>
      <c r="B66" s="210">
        <f>B62*B59^1.5</f>
        <v>1760.6338684577522</v>
      </c>
      <c r="C66" s="192"/>
      <c r="D66" s="207" t="s">
        <v>318</v>
      </c>
    </row>
    <row r="67" spans="1:14">
      <c r="A67" s="250" t="s">
        <v>319</v>
      </c>
      <c r="B67" s="214">
        <f>320*B66^0.84</f>
        <v>170416.6335602132</v>
      </c>
      <c r="C67" s="207"/>
      <c r="D67" s="207" t="s">
        <v>320</v>
      </c>
      <c r="M67" s="215"/>
    </row>
    <row r="68" spans="1:14">
      <c r="A68" s="250" t="s">
        <v>321</v>
      </c>
      <c r="B68" s="208">
        <v>500</v>
      </c>
      <c r="C68" s="207"/>
      <c r="D68" s="207"/>
      <c r="M68" s="215"/>
    </row>
    <row r="69" spans="1:14" ht="18">
      <c r="A69" s="250" t="s">
        <v>322</v>
      </c>
      <c r="B69" s="216">
        <v>525.4</v>
      </c>
      <c r="C69" s="217"/>
      <c r="D69" s="217"/>
    </row>
    <row r="70" spans="1:14" ht="18">
      <c r="A70" s="250" t="s">
        <v>323</v>
      </c>
      <c r="B70" s="214">
        <f>B67*B69/B68</f>
        <v>179073.79854507203</v>
      </c>
      <c r="C70" s="217"/>
      <c r="D70" s="217"/>
    </row>
    <row r="71" spans="1:14" ht="18">
      <c r="A71" s="250" t="s">
        <v>294</v>
      </c>
      <c r="B71" s="209">
        <v>2.4</v>
      </c>
      <c r="C71" s="217"/>
      <c r="D71" s="207" t="s">
        <v>324</v>
      </c>
    </row>
    <row r="72" spans="1:14" ht="18">
      <c r="A72" s="250" t="s">
        <v>325</v>
      </c>
      <c r="B72" s="218">
        <f>B70*B71</f>
        <v>429777.11650817288</v>
      </c>
      <c r="C72" s="217"/>
      <c r="D72" s="217"/>
    </row>
    <row r="73" spans="1:14" ht="18">
      <c r="A73" s="251" t="s">
        <v>326</v>
      </c>
      <c r="B73" s="219">
        <f>B72*B57</f>
        <v>859554.23301634577</v>
      </c>
      <c r="C73" s="217"/>
      <c r="D73" s="217"/>
    </row>
    <row r="74" spans="1:14" ht="18">
      <c r="A74" s="264" t="s">
        <v>327</v>
      </c>
      <c r="B74" s="264"/>
      <c r="C74" s="264"/>
      <c r="D74" s="264"/>
      <c r="N74" s="220"/>
    </row>
    <row r="75" spans="1:14">
      <c r="A75" s="247" t="s">
        <v>264</v>
      </c>
      <c r="B75" s="191" t="s">
        <v>9</v>
      </c>
      <c r="C75" s="191" t="s">
        <v>172</v>
      </c>
      <c r="D75" s="191" t="s">
        <v>265</v>
      </c>
    </row>
    <row r="76" spans="1:14">
      <c r="A76" s="248" t="s">
        <v>288</v>
      </c>
      <c r="B76" s="195">
        <v>2</v>
      </c>
      <c r="C76" s="192"/>
      <c r="D76" s="192"/>
    </row>
    <row r="77" spans="1:14" ht="20">
      <c r="A77" s="248" t="s">
        <v>293</v>
      </c>
      <c r="B77" s="195">
        <v>0.6</v>
      </c>
      <c r="C77" s="192"/>
      <c r="D77" s="192" t="s">
        <v>277</v>
      </c>
      <c r="K77" s="221"/>
      <c r="L77" s="221"/>
      <c r="M77" s="222"/>
    </row>
    <row r="78" spans="1:14">
      <c r="A78" s="248" t="s">
        <v>294</v>
      </c>
      <c r="B78" s="223">
        <v>2.2999999999999998</v>
      </c>
      <c r="C78" s="192"/>
      <c r="D78" s="192" t="s">
        <v>328</v>
      </c>
    </row>
    <row r="79" spans="1:14">
      <c r="A79" s="248" t="s">
        <v>280</v>
      </c>
      <c r="B79" s="202">
        <v>59</v>
      </c>
      <c r="C79" s="192" t="s">
        <v>195</v>
      </c>
      <c r="D79" s="192" t="s">
        <v>291</v>
      </c>
    </row>
    <row r="80" spans="1:14">
      <c r="A80" s="248" t="s">
        <v>282</v>
      </c>
      <c r="B80" s="202">
        <v>50</v>
      </c>
      <c r="C80" s="192" t="s">
        <v>143</v>
      </c>
      <c r="D80" s="192"/>
    </row>
    <row r="81" spans="1:4">
      <c r="A81" s="248" t="s">
        <v>283</v>
      </c>
      <c r="B81" s="197">
        <v>14714</v>
      </c>
      <c r="C81" s="192"/>
      <c r="D81" s="192" t="s">
        <v>329</v>
      </c>
    </row>
    <row r="82" spans="1:4">
      <c r="A82" s="248" t="s">
        <v>284</v>
      </c>
      <c r="B82" s="197">
        <f>(B80/B79)^B77*B81</f>
        <v>13322.985257381935</v>
      </c>
      <c r="C82" s="192"/>
      <c r="D82" s="192"/>
    </row>
    <row r="83" spans="1:4" ht="16" customHeight="1">
      <c r="A83" s="248" t="s">
        <v>7</v>
      </c>
      <c r="B83" s="197">
        <f>B82*B78</f>
        <v>30642.866091978449</v>
      </c>
      <c r="C83" s="192"/>
      <c r="D83" s="192"/>
    </row>
    <row r="84" spans="1:4">
      <c r="A84" s="248" t="s">
        <v>168</v>
      </c>
      <c r="B84" s="224">
        <v>2010</v>
      </c>
      <c r="C84" s="192"/>
      <c r="D84" s="192"/>
    </row>
    <row r="85" spans="1:4">
      <c r="A85" s="248" t="s">
        <v>285</v>
      </c>
      <c r="B85" s="199">
        <v>550.79999999999995</v>
      </c>
      <c r="C85" s="192"/>
      <c r="D85" s="192"/>
    </row>
    <row r="86" spans="1:4">
      <c r="A86" s="248" t="s">
        <v>286</v>
      </c>
      <c r="B86" s="200">
        <v>525.4</v>
      </c>
      <c r="C86" s="192"/>
      <c r="D86" s="192"/>
    </row>
    <row r="87" spans="1:4">
      <c r="A87" s="249" t="s">
        <v>295</v>
      </c>
      <c r="B87" s="201">
        <f>B83*(B86/B85)</f>
        <v>29229.778222086923</v>
      </c>
      <c r="C87" s="192"/>
      <c r="D87" s="192"/>
    </row>
    <row r="88" spans="1:4" ht="18">
      <c r="A88" s="264" t="s">
        <v>330</v>
      </c>
      <c r="B88" s="264"/>
      <c r="C88" s="264"/>
      <c r="D88" s="264"/>
    </row>
    <row r="89" spans="1:4">
      <c r="A89" s="247" t="s">
        <v>264</v>
      </c>
      <c r="B89" s="191" t="s">
        <v>9</v>
      </c>
      <c r="C89" s="191" t="s">
        <v>172</v>
      </c>
      <c r="D89" s="191" t="s">
        <v>265</v>
      </c>
    </row>
    <row r="90" spans="1:4">
      <c r="A90" s="248" t="s">
        <v>293</v>
      </c>
      <c r="B90" s="195">
        <v>0.6</v>
      </c>
      <c r="C90" s="192"/>
      <c r="D90" s="192" t="s">
        <v>277</v>
      </c>
    </row>
    <row r="91" spans="1:4" ht="16">
      <c r="A91" s="248" t="s">
        <v>280</v>
      </c>
      <c r="B91" s="202">
        <v>11699.291041968389</v>
      </c>
      <c r="C91" s="192" t="s">
        <v>315</v>
      </c>
      <c r="D91" s="192" t="s">
        <v>291</v>
      </c>
    </row>
    <row r="92" spans="1:4" ht="16">
      <c r="A92" s="248" t="s">
        <v>282</v>
      </c>
      <c r="B92" s="202">
        <v>624.80565116637081</v>
      </c>
      <c r="C92" s="192" t="s">
        <v>315</v>
      </c>
      <c r="D92" s="192"/>
    </row>
    <row r="93" spans="1:4">
      <c r="A93" s="248" t="s">
        <v>283</v>
      </c>
      <c r="B93" s="197">
        <v>3407000</v>
      </c>
      <c r="C93" s="192"/>
      <c r="D93" s="192" t="s">
        <v>331</v>
      </c>
    </row>
    <row r="94" spans="1:4">
      <c r="A94" s="248" t="s">
        <v>284</v>
      </c>
      <c r="B94" s="197">
        <f>(B92/B91)^B90*B93</f>
        <v>587385.70890553552</v>
      </c>
      <c r="C94" s="192"/>
      <c r="D94" s="192"/>
    </row>
    <row r="95" spans="1:4">
      <c r="A95" s="248" t="s">
        <v>294</v>
      </c>
      <c r="B95" s="223">
        <v>2.4</v>
      </c>
      <c r="C95" s="192"/>
      <c r="D95" s="192" t="s">
        <v>332</v>
      </c>
    </row>
    <row r="96" spans="1:4">
      <c r="A96" s="248" t="s">
        <v>7</v>
      </c>
      <c r="B96" s="197">
        <f>B94*B95</f>
        <v>1409725.7013732851</v>
      </c>
      <c r="C96" s="192"/>
      <c r="D96" s="192"/>
    </row>
    <row r="97" spans="1:4">
      <c r="A97" s="248" t="s">
        <v>168</v>
      </c>
      <c r="B97" s="224">
        <v>2010</v>
      </c>
      <c r="C97" s="192"/>
      <c r="D97" s="192"/>
    </row>
    <row r="98" spans="1:4">
      <c r="A98" s="248" t="s">
        <v>285</v>
      </c>
      <c r="B98" s="199">
        <v>550.79999999999995</v>
      </c>
      <c r="C98" s="192"/>
      <c r="D98" s="192"/>
    </row>
    <row r="99" spans="1:4">
      <c r="A99" s="248" t="s">
        <v>286</v>
      </c>
      <c r="B99" s="200">
        <v>525.4</v>
      </c>
      <c r="C99" s="192"/>
      <c r="D99" s="192"/>
    </row>
    <row r="100" spans="1:4">
      <c r="A100" s="249" t="s">
        <v>295</v>
      </c>
      <c r="B100" s="201">
        <f>B96*(B99/B98)</f>
        <v>1344716.5640913653</v>
      </c>
      <c r="C100" s="192"/>
      <c r="D100" s="192"/>
    </row>
    <row r="101" spans="1:4" ht="18">
      <c r="A101" s="264" t="s">
        <v>333</v>
      </c>
      <c r="B101" s="264"/>
      <c r="C101" s="264"/>
      <c r="D101" s="264"/>
    </row>
    <row r="102" spans="1:4">
      <c r="A102" s="247" t="s">
        <v>264</v>
      </c>
      <c r="B102" s="191" t="s">
        <v>9</v>
      </c>
      <c r="C102" s="191" t="s">
        <v>172</v>
      </c>
      <c r="D102" s="191" t="s">
        <v>265</v>
      </c>
    </row>
    <row r="103" spans="1:4">
      <c r="A103" s="248" t="s">
        <v>293</v>
      </c>
      <c r="B103" s="195">
        <v>0.6</v>
      </c>
      <c r="C103" s="192"/>
      <c r="D103" s="192" t="s">
        <v>277</v>
      </c>
    </row>
    <row r="104" spans="1:4" ht="16">
      <c r="A104" s="248" t="s">
        <v>280</v>
      </c>
      <c r="B104" s="202">
        <v>11699.291041968389</v>
      </c>
      <c r="C104" s="192" t="s">
        <v>315</v>
      </c>
      <c r="D104" s="192" t="s">
        <v>291</v>
      </c>
    </row>
    <row r="105" spans="1:4" ht="16">
      <c r="A105" s="248" t="s">
        <v>282</v>
      </c>
      <c r="B105" s="202">
        <v>238.76143452634068</v>
      </c>
      <c r="C105" s="192" t="s">
        <v>315</v>
      </c>
      <c r="D105" s="192"/>
    </row>
    <row r="106" spans="1:4">
      <c r="A106" s="248" t="s">
        <v>283</v>
      </c>
      <c r="B106" s="197">
        <v>3407000</v>
      </c>
      <c r="C106" s="192"/>
      <c r="D106" s="192" t="s">
        <v>331</v>
      </c>
    </row>
    <row r="107" spans="1:4">
      <c r="A107" s="248" t="s">
        <v>284</v>
      </c>
      <c r="B107" s="197">
        <f>(B105/B104)^B103*B106</f>
        <v>329803.23729920579</v>
      </c>
      <c r="C107" s="192"/>
      <c r="D107" s="192"/>
    </row>
    <row r="108" spans="1:4">
      <c r="A108" s="248" t="s">
        <v>294</v>
      </c>
      <c r="B108" s="223">
        <v>2.4</v>
      </c>
      <c r="C108" s="192"/>
      <c r="D108" s="192" t="s">
        <v>332</v>
      </c>
    </row>
    <row r="109" spans="1:4">
      <c r="A109" s="248" t="s">
        <v>7</v>
      </c>
      <c r="B109" s="197">
        <f>B107*B108</f>
        <v>791527.7695180939</v>
      </c>
      <c r="C109" s="192"/>
      <c r="D109" s="192"/>
    </row>
    <row r="110" spans="1:4">
      <c r="A110" s="248" t="s">
        <v>168</v>
      </c>
      <c r="B110" s="224">
        <v>2009</v>
      </c>
      <c r="C110" s="192"/>
      <c r="D110" s="192"/>
    </row>
    <row r="111" spans="1:4">
      <c r="A111" s="248" t="s">
        <v>285</v>
      </c>
      <c r="B111" s="225">
        <v>521.9</v>
      </c>
      <c r="C111" s="192"/>
      <c r="D111" s="192"/>
    </row>
    <row r="112" spans="1:4">
      <c r="A112" s="248" t="s">
        <v>286</v>
      </c>
      <c r="B112" s="200">
        <v>525.4</v>
      </c>
      <c r="C112" s="192"/>
      <c r="D112" s="192"/>
    </row>
    <row r="113" spans="1:4">
      <c r="A113" s="249" t="s">
        <v>295</v>
      </c>
      <c r="B113" s="201">
        <f>B109*(B112/B111)</f>
        <v>796835.96494502109</v>
      </c>
      <c r="C113" s="192"/>
      <c r="D113" s="192"/>
    </row>
  </sheetData>
  <mergeCells count="7">
    <mergeCell ref="A101:D101"/>
    <mergeCell ref="A2:D2"/>
    <mergeCell ref="A21:D21"/>
    <mergeCell ref="A35:D35"/>
    <mergeCell ref="A49:D49"/>
    <mergeCell ref="A74:D74"/>
    <mergeCell ref="A88:D8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zoomScale="75" zoomScaleNormal="75" zoomScalePageLayoutView="75" workbookViewId="0">
      <selection sqref="A1:J1"/>
    </sheetView>
  </sheetViews>
  <sheetFormatPr baseColWidth="10" defaultRowHeight="15" x14ac:dyDescent="0"/>
  <cols>
    <col min="1" max="1" width="10.83203125" style="128"/>
    <col min="2" max="2" width="12.33203125" style="128" bestFit="1" customWidth="1"/>
    <col min="3" max="3" width="19" style="128" customWidth="1"/>
    <col min="4" max="7" width="10.83203125" style="128"/>
    <col min="8" max="8" width="11.6640625" style="128" bestFit="1" customWidth="1"/>
    <col min="9" max="9" width="10.83203125" style="128"/>
    <col min="10" max="10" width="13" style="128" bestFit="1" customWidth="1"/>
    <col min="11" max="16384" width="10.83203125" style="128"/>
  </cols>
  <sheetData>
    <row r="1" spans="1:10" ht="17">
      <c r="A1" s="266" t="s">
        <v>399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>
      <c r="A2" s="265" t="s">
        <v>153</v>
      </c>
      <c r="B2" s="265"/>
      <c r="C2" s="265"/>
      <c r="D2" s="265"/>
      <c r="E2" s="265"/>
      <c r="F2" s="265"/>
      <c r="G2" s="265"/>
      <c r="H2" s="265"/>
      <c r="I2" s="265"/>
      <c r="J2" s="265"/>
    </row>
    <row r="3" spans="1:10">
      <c r="A3" s="192" t="s">
        <v>334</v>
      </c>
      <c r="B3" s="192" t="s">
        <v>335</v>
      </c>
      <c r="C3" s="192" t="s">
        <v>2</v>
      </c>
      <c r="D3" s="192" t="s">
        <v>336</v>
      </c>
      <c r="E3" s="192" t="s">
        <v>337</v>
      </c>
      <c r="F3" s="192" t="s">
        <v>338</v>
      </c>
      <c r="G3" s="192" t="s">
        <v>339</v>
      </c>
      <c r="H3" s="192" t="s">
        <v>340</v>
      </c>
      <c r="I3" s="192" t="s">
        <v>341</v>
      </c>
      <c r="J3" s="192" t="s">
        <v>342</v>
      </c>
    </row>
    <row r="4" spans="1:10">
      <c r="A4" s="192">
        <v>2016</v>
      </c>
      <c r="B4" s="192">
        <v>38231900</v>
      </c>
      <c r="C4" s="192" t="s">
        <v>343</v>
      </c>
      <c r="D4" s="192" t="s">
        <v>344</v>
      </c>
      <c r="E4" s="192" t="s">
        <v>345</v>
      </c>
      <c r="F4" s="192" t="s">
        <v>346</v>
      </c>
      <c r="G4" s="226">
        <v>5040</v>
      </c>
      <c r="H4" s="226">
        <v>1326304</v>
      </c>
      <c r="I4" s="192">
        <v>263</v>
      </c>
      <c r="J4" s="192">
        <f t="shared" ref="J4:J64" si="0">I4*0.016</f>
        <v>4.2080000000000002</v>
      </c>
    </row>
    <row r="5" spans="1:10">
      <c r="A5" s="192">
        <v>2016</v>
      </c>
      <c r="B5" s="192" t="s">
        <v>153</v>
      </c>
      <c r="C5" s="192" t="s">
        <v>347</v>
      </c>
      <c r="D5" s="192" t="s">
        <v>348</v>
      </c>
      <c r="E5" s="192" t="s">
        <v>349</v>
      </c>
      <c r="F5" s="192" t="s">
        <v>346</v>
      </c>
      <c r="G5" s="226">
        <v>20010</v>
      </c>
      <c r="H5" s="226">
        <v>5232274</v>
      </c>
      <c r="I5" s="192">
        <v>261</v>
      </c>
      <c r="J5" s="192">
        <f t="shared" si="0"/>
        <v>4.1760000000000002</v>
      </c>
    </row>
    <row r="6" spans="1:10">
      <c r="A6" s="192">
        <v>2016</v>
      </c>
      <c r="B6" s="192">
        <v>38231900</v>
      </c>
      <c r="C6" s="192" t="s">
        <v>350</v>
      </c>
      <c r="D6" s="192" t="s">
        <v>344</v>
      </c>
      <c r="E6" s="192" t="s">
        <v>349</v>
      </c>
      <c r="F6" s="192" t="s">
        <v>346</v>
      </c>
      <c r="G6" s="226">
        <v>19650</v>
      </c>
      <c r="H6" s="226">
        <v>4899446</v>
      </c>
      <c r="I6" s="192">
        <v>249</v>
      </c>
      <c r="J6" s="192">
        <f t="shared" si="0"/>
        <v>3.984</v>
      </c>
    </row>
    <row r="7" spans="1:10">
      <c r="A7" s="192">
        <v>2016</v>
      </c>
      <c r="B7" s="192">
        <v>38231900</v>
      </c>
      <c r="C7" s="192" t="s">
        <v>350</v>
      </c>
      <c r="D7" s="192" t="s">
        <v>344</v>
      </c>
      <c r="E7" s="192" t="s">
        <v>349</v>
      </c>
      <c r="F7" s="192" t="s">
        <v>346</v>
      </c>
      <c r="G7" s="226">
        <v>19300</v>
      </c>
      <c r="H7" s="226">
        <v>4919195</v>
      </c>
      <c r="I7" s="192">
        <v>255</v>
      </c>
      <c r="J7" s="192">
        <f t="shared" si="0"/>
        <v>4.08</v>
      </c>
    </row>
    <row r="8" spans="1:10">
      <c r="A8" s="192">
        <v>2016</v>
      </c>
      <c r="B8" s="192">
        <v>29159020</v>
      </c>
      <c r="C8" s="192" t="s">
        <v>351</v>
      </c>
      <c r="D8" s="192" t="s">
        <v>352</v>
      </c>
      <c r="E8" s="192" t="s">
        <v>349</v>
      </c>
      <c r="F8" s="192" t="s">
        <v>346</v>
      </c>
      <c r="G8" s="226">
        <v>60000</v>
      </c>
      <c r="H8" s="226">
        <v>20369156</v>
      </c>
      <c r="I8" s="192">
        <v>339</v>
      </c>
      <c r="J8" s="192">
        <f t="shared" si="0"/>
        <v>5.4240000000000004</v>
      </c>
    </row>
    <row r="9" spans="1:10">
      <c r="A9" s="192">
        <v>2016</v>
      </c>
      <c r="B9" s="192">
        <v>29159020</v>
      </c>
      <c r="C9" s="192" t="s">
        <v>351</v>
      </c>
      <c r="D9" s="192" t="s">
        <v>352</v>
      </c>
      <c r="E9" s="192" t="s">
        <v>349</v>
      </c>
      <c r="F9" s="192" t="s">
        <v>346</v>
      </c>
      <c r="G9" s="226">
        <v>60000</v>
      </c>
      <c r="H9" s="226">
        <v>20281002</v>
      </c>
      <c r="I9" s="192">
        <v>338</v>
      </c>
      <c r="J9" s="192">
        <f t="shared" si="0"/>
        <v>5.4080000000000004</v>
      </c>
    </row>
    <row r="10" spans="1:10">
      <c r="A10" s="192">
        <v>2016</v>
      </c>
      <c r="B10" s="192">
        <v>29159020</v>
      </c>
      <c r="C10" s="192" t="s">
        <v>351</v>
      </c>
      <c r="D10" s="192" t="s">
        <v>352</v>
      </c>
      <c r="E10" s="192" t="s">
        <v>349</v>
      </c>
      <c r="F10" s="192" t="s">
        <v>346</v>
      </c>
      <c r="G10" s="226">
        <v>60000</v>
      </c>
      <c r="H10" s="226">
        <v>20206768</v>
      </c>
      <c r="I10" s="192">
        <v>337</v>
      </c>
      <c r="J10" s="192">
        <f t="shared" si="0"/>
        <v>5.3920000000000003</v>
      </c>
    </row>
    <row r="11" spans="1:10">
      <c r="A11" s="192">
        <v>2016</v>
      </c>
      <c r="B11" s="192">
        <v>29159020</v>
      </c>
      <c r="C11" s="192" t="s">
        <v>351</v>
      </c>
      <c r="D11" s="192" t="s">
        <v>352</v>
      </c>
      <c r="E11" s="192" t="s">
        <v>349</v>
      </c>
      <c r="F11" s="192" t="s">
        <v>346</v>
      </c>
      <c r="G11" s="226">
        <v>60000</v>
      </c>
      <c r="H11" s="226">
        <v>19865286</v>
      </c>
      <c r="I11" s="192">
        <v>331</v>
      </c>
      <c r="J11" s="192">
        <f t="shared" si="0"/>
        <v>5.2960000000000003</v>
      </c>
    </row>
    <row r="12" spans="1:10">
      <c r="A12" s="192">
        <v>2016</v>
      </c>
      <c r="B12" s="192">
        <v>29159020</v>
      </c>
      <c r="C12" s="192" t="s">
        <v>351</v>
      </c>
      <c r="D12" s="192" t="s">
        <v>352</v>
      </c>
      <c r="E12" s="192" t="s">
        <v>349</v>
      </c>
      <c r="F12" s="192" t="s">
        <v>346</v>
      </c>
      <c r="G12" s="226">
        <v>40000</v>
      </c>
      <c r="H12" s="226">
        <v>13539350</v>
      </c>
      <c r="I12" s="192">
        <v>338</v>
      </c>
      <c r="J12" s="192">
        <f t="shared" si="0"/>
        <v>5.4080000000000004</v>
      </c>
    </row>
    <row r="13" spans="1:10">
      <c r="A13" s="192">
        <v>2016</v>
      </c>
      <c r="B13" s="192">
        <v>29159020</v>
      </c>
      <c r="C13" s="192" t="s">
        <v>351</v>
      </c>
      <c r="D13" s="192" t="s">
        <v>352</v>
      </c>
      <c r="E13" s="192" t="s">
        <v>349</v>
      </c>
      <c r="F13" s="192" t="s">
        <v>346</v>
      </c>
      <c r="G13" s="226">
        <v>40000</v>
      </c>
      <c r="H13" s="226">
        <v>13539350</v>
      </c>
      <c r="I13" s="192">
        <v>338</v>
      </c>
      <c r="J13" s="192">
        <f t="shared" si="0"/>
        <v>5.4080000000000004</v>
      </c>
    </row>
    <row r="14" spans="1:10">
      <c r="A14" s="192">
        <v>2016</v>
      </c>
      <c r="B14" s="192">
        <v>29159020</v>
      </c>
      <c r="C14" s="192" t="s">
        <v>351</v>
      </c>
      <c r="D14" s="192" t="s">
        <v>352</v>
      </c>
      <c r="E14" s="192" t="s">
        <v>349</v>
      </c>
      <c r="F14" s="192" t="s">
        <v>346</v>
      </c>
      <c r="G14" s="226">
        <v>40000</v>
      </c>
      <c r="H14" s="226">
        <v>13579437</v>
      </c>
      <c r="I14" s="192">
        <v>339</v>
      </c>
      <c r="J14" s="192">
        <f t="shared" si="0"/>
        <v>5.4240000000000004</v>
      </c>
    </row>
    <row r="15" spans="1:10">
      <c r="A15" s="192">
        <v>2016</v>
      </c>
      <c r="B15" s="192">
        <v>29159020</v>
      </c>
      <c r="C15" s="192" t="s">
        <v>351</v>
      </c>
      <c r="D15" s="192" t="s">
        <v>352</v>
      </c>
      <c r="E15" s="192" t="s">
        <v>349</v>
      </c>
      <c r="F15" s="192" t="s">
        <v>346</v>
      </c>
      <c r="G15" s="226">
        <v>40000</v>
      </c>
      <c r="H15" s="226">
        <v>13609503</v>
      </c>
      <c r="I15" s="192">
        <v>340</v>
      </c>
      <c r="J15" s="192">
        <f t="shared" si="0"/>
        <v>5.44</v>
      </c>
    </row>
    <row r="16" spans="1:10">
      <c r="A16" s="192">
        <v>2016</v>
      </c>
      <c r="B16" s="192">
        <v>29159020</v>
      </c>
      <c r="C16" s="192" t="s">
        <v>351</v>
      </c>
      <c r="D16" s="192" t="s">
        <v>352</v>
      </c>
      <c r="E16" s="192" t="s">
        <v>349</v>
      </c>
      <c r="F16" s="192" t="s">
        <v>346</v>
      </c>
      <c r="G16" s="226">
        <v>40000</v>
      </c>
      <c r="H16" s="226">
        <v>13669633</v>
      </c>
      <c r="I16" s="192">
        <v>342</v>
      </c>
      <c r="J16" s="192">
        <f t="shared" si="0"/>
        <v>5.4720000000000004</v>
      </c>
    </row>
    <row r="17" spans="1:10">
      <c r="A17" s="192">
        <v>2016</v>
      </c>
      <c r="B17" s="192">
        <v>29159020</v>
      </c>
      <c r="C17" s="192" t="s">
        <v>351</v>
      </c>
      <c r="D17" s="192" t="s">
        <v>352</v>
      </c>
      <c r="E17" s="192" t="s">
        <v>349</v>
      </c>
      <c r="F17" s="192" t="s">
        <v>346</v>
      </c>
      <c r="G17" s="226">
        <v>40000</v>
      </c>
      <c r="H17" s="226">
        <v>13669633</v>
      </c>
      <c r="I17" s="192">
        <v>342</v>
      </c>
      <c r="J17" s="192">
        <f t="shared" si="0"/>
        <v>5.4720000000000004</v>
      </c>
    </row>
    <row r="18" spans="1:10">
      <c r="A18" s="192">
        <v>2016</v>
      </c>
      <c r="B18" s="192">
        <v>29159020</v>
      </c>
      <c r="C18" s="192" t="s">
        <v>351</v>
      </c>
      <c r="D18" s="192" t="s">
        <v>352</v>
      </c>
      <c r="E18" s="192" t="s">
        <v>349</v>
      </c>
      <c r="F18" s="192" t="s">
        <v>346</v>
      </c>
      <c r="G18" s="226">
        <v>40000</v>
      </c>
      <c r="H18" s="226">
        <v>13669633</v>
      </c>
      <c r="I18" s="192">
        <v>342</v>
      </c>
      <c r="J18" s="192">
        <f t="shared" si="0"/>
        <v>5.4720000000000004</v>
      </c>
    </row>
    <row r="19" spans="1:10">
      <c r="A19" s="192">
        <v>2016</v>
      </c>
      <c r="B19" s="192">
        <v>29159020</v>
      </c>
      <c r="C19" s="192" t="s">
        <v>351</v>
      </c>
      <c r="D19" s="192" t="s">
        <v>352</v>
      </c>
      <c r="E19" s="192" t="s">
        <v>349</v>
      </c>
      <c r="F19" s="192" t="s">
        <v>346</v>
      </c>
      <c r="G19" s="226">
        <v>40000</v>
      </c>
      <c r="H19" s="226">
        <v>13689676</v>
      </c>
      <c r="I19" s="192">
        <v>342</v>
      </c>
      <c r="J19" s="192">
        <f t="shared" si="0"/>
        <v>5.4720000000000004</v>
      </c>
    </row>
    <row r="20" spans="1:10">
      <c r="A20" s="192">
        <v>2016</v>
      </c>
      <c r="B20" s="192">
        <v>29159020</v>
      </c>
      <c r="C20" s="192" t="s">
        <v>351</v>
      </c>
      <c r="D20" s="192" t="s">
        <v>348</v>
      </c>
      <c r="E20" s="192" t="s">
        <v>349</v>
      </c>
      <c r="F20" s="192" t="s">
        <v>346</v>
      </c>
      <c r="G20" s="226">
        <v>40000</v>
      </c>
      <c r="H20" s="226">
        <v>13487131</v>
      </c>
      <c r="I20" s="192">
        <v>337</v>
      </c>
      <c r="J20" s="192">
        <f t="shared" si="0"/>
        <v>5.3920000000000003</v>
      </c>
    </row>
    <row r="21" spans="1:10">
      <c r="A21" s="192">
        <v>2016</v>
      </c>
      <c r="B21" s="192">
        <v>29159020</v>
      </c>
      <c r="C21" s="192" t="s">
        <v>351</v>
      </c>
      <c r="D21" s="192" t="s">
        <v>352</v>
      </c>
      <c r="E21" s="192" t="s">
        <v>349</v>
      </c>
      <c r="F21" s="192" t="s">
        <v>346</v>
      </c>
      <c r="G21" s="226">
        <v>2700</v>
      </c>
      <c r="H21" s="226">
        <v>905296</v>
      </c>
      <c r="I21" s="192">
        <v>335</v>
      </c>
      <c r="J21" s="192">
        <f t="shared" si="0"/>
        <v>5.36</v>
      </c>
    </row>
    <row r="22" spans="1:10">
      <c r="A22" s="192">
        <v>2016</v>
      </c>
      <c r="B22" s="192">
        <v>29159020</v>
      </c>
      <c r="C22" s="192" t="s">
        <v>351</v>
      </c>
      <c r="D22" s="192" t="s">
        <v>352</v>
      </c>
      <c r="E22" s="192" t="s">
        <v>349</v>
      </c>
      <c r="F22" s="192" t="s">
        <v>346</v>
      </c>
      <c r="G22" s="226">
        <v>1620</v>
      </c>
      <c r="H22" s="226">
        <v>538367</v>
      </c>
      <c r="I22" s="192">
        <v>332</v>
      </c>
      <c r="J22" s="192">
        <f t="shared" si="0"/>
        <v>5.3120000000000003</v>
      </c>
    </row>
    <row r="23" spans="1:10">
      <c r="A23" s="192">
        <v>2016</v>
      </c>
      <c r="B23" s="192">
        <v>29159020</v>
      </c>
      <c r="C23" s="192" t="s">
        <v>351</v>
      </c>
      <c r="D23" s="192" t="s">
        <v>344</v>
      </c>
      <c r="E23" s="192" t="s">
        <v>349</v>
      </c>
      <c r="F23" s="192" t="s">
        <v>346</v>
      </c>
      <c r="G23" s="226">
        <v>1440</v>
      </c>
      <c r="H23" s="226">
        <v>545146</v>
      </c>
      <c r="I23" s="192">
        <v>379</v>
      </c>
      <c r="J23" s="192">
        <f t="shared" si="0"/>
        <v>6.0640000000000001</v>
      </c>
    </row>
    <row r="24" spans="1:10">
      <c r="A24" s="192">
        <v>2016</v>
      </c>
      <c r="B24" s="192">
        <v>29159020</v>
      </c>
      <c r="C24" s="192" t="s">
        <v>353</v>
      </c>
      <c r="D24" s="192" t="s">
        <v>344</v>
      </c>
      <c r="E24" s="192" t="s">
        <v>349</v>
      </c>
      <c r="F24" s="192" t="s">
        <v>346</v>
      </c>
      <c r="G24" s="226">
        <v>19950</v>
      </c>
      <c r="H24" s="226">
        <v>6515448</v>
      </c>
      <c r="I24" s="192">
        <v>327</v>
      </c>
      <c r="J24" s="192">
        <f t="shared" si="0"/>
        <v>5.2320000000000002</v>
      </c>
    </row>
    <row r="25" spans="1:10">
      <c r="A25" s="192">
        <v>2016</v>
      </c>
      <c r="B25" s="192">
        <v>29159020</v>
      </c>
      <c r="C25" s="192" t="s">
        <v>354</v>
      </c>
      <c r="D25" s="192" t="s">
        <v>344</v>
      </c>
      <c r="E25" s="192" t="s">
        <v>349</v>
      </c>
      <c r="F25" s="192" t="s">
        <v>346</v>
      </c>
      <c r="G25" s="226">
        <v>19980</v>
      </c>
      <c r="H25" s="226">
        <v>6472037</v>
      </c>
      <c r="I25" s="192">
        <v>324</v>
      </c>
      <c r="J25" s="192">
        <f t="shared" si="0"/>
        <v>5.1840000000000002</v>
      </c>
    </row>
    <row r="26" spans="1:10">
      <c r="A26" s="192">
        <v>2016</v>
      </c>
      <c r="B26" s="192">
        <v>29159020</v>
      </c>
      <c r="C26" s="192" t="s">
        <v>354</v>
      </c>
      <c r="D26" s="192" t="s">
        <v>344</v>
      </c>
      <c r="E26" s="192" t="s">
        <v>349</v>
      </c>
      <c r="F26" s="192" t="s">
        <v>346</v>
      </c>
      <c r="G26" s="226">
        <v>19960</v>
      </c>
      <c r="H26" s="226">
        <v>6465559</v>
      </c>
      <c r="I26" s="192">
        <v>324</v>
      </c>
      <c r="J26" s="192">
        <f t="shared" si="0"/>
        <v>5.1840000000000002</v>
      </c>
    </row>
    <row r="27" spans="1:10">
      <c r="A27" s="192">
        <v>2016</v>
      </c>
      <c r="B27" s="192">
        <v>29159020</v>
      </c>
      <c r="C27" s="192" t="s">
        <v>355</v>
      </c>
      <c r="D27" s="192" t="s">
        <v>344</v>
      </c>
      <c r="E27" s="192" t="s">
        <v>349</v>
      </c>
      <c r="F27" s="192" t="s">
        <v>346</v>
      </c>
      <c r="G27" s="226">
        <v>7200</v>
      </c>
      <c r="H27" s="226">
        <v>2467197</v>
      </c>
      <c r="I27" s="192">
        <v>343</v>
      </c>
      <c r="J27" s="192">
        <f t="shared" si="0"/>
        <v>5.4880000000000004</v>
      </c>
    </row>
    <row r="28" spans="1:10">
      <c r="A28" s="192">
        <v>2016</v>
      </c>
      <c r="B28" s="192">
        <v>29159020</v>
      </c>
      <c r="C28" s="192" t="s">
        <v>356</v>
      </c>
      <c r="D28" s="192" t="s">
        <v>344</v>
      </c>
      <c r="E28" s="192" t="s">
        <v>357</v>
      </c>
      <c r="F28" s="192" t="s">
        <v>346</v>
      </c>
      <c r="G28" s="226">
        <v>7200</v>
      </c>
      <c r="H28" s="226">
        <v>2514978</v>
      </c>
      <c r="I28" s="192">
        <v>349</v>
      </c>
      <c r="J28" s="192">
        <f t="shared" si="0"/>
        <v>5.5840000000000005</v>
      </c>
    </row>
    <row r="29" spans="1:10">
      <c r="A29" s="192">
        <v>2016</v>
      </c>
      <c r="B29" s="192">
        <v>29159090</v>
      </c>
      <c r="C29" s="192" t="s">
        <v>358</v>
      </c>
      <c r="D29" s="192" t="s">
        <v>344</v>
      </c>
      <c r="E29" s="192" t="s">
        <v>349</v>
      </c>
      <c r="F29" s="192" t="s">
        <v>346</v>
      </c>
      <c r="G29" s="226">
        <v>14400</v>
      </c>
      <c r="H29" s="226">
        <v>5015393</v>
      </c>
      <c r="I29" s="192">
        <v>348</v>
      </c>
      <c r="J29" s="192">
        <f t="shared" si="0"/>
        <v>5.5680000000000005</v>
      </c>
    </row>
    <row r="30" spans="1:10">
      <c r="A30" s="192">
        <v>2016</v>
      </c>
      <c r="B30" s="192">
        <v>29159020</v>
      </c>
      <c r="C30" s="192" t="s">
        <v>359</v>
      </c>
      <c r="D30" s="192" t="s">
        <v>344</v>
      </c>
      <c r="E30" s="192" t="s">
        <v>357</v>
      </c>
      <c r="F30" s="192" t="s">
        <v>346</v>
      </c>
      <c r="G30" s="226">
        <v>7200</v>
      </c>
      <c r="H30" s="226">
        <v>2567013</v>
      </c>
      <c r="I30" s="192">
        <v>357</v>
      </c>
      <c r="J30" s="192">
        <f t="shared" si="0"/>
        <v>5.7119999999999997</v>
      </c>
    </row>
    <row r="31" spans="1:10">
      <c r="A31" s="192">
        <v>2016</v>
      </c>
      <c r="B31" s="192">
        <v>38231900</v>
      </c>
      <c r="C31" s="192" t="s">
        <v>360</v>
      </c>
      <c r="D31" s="192" t="s">
        <v>348</v>
      </c>
      <c r="E31" s="192" t="s">
        <v>349</v>
      </c>
      <c r="F31" s="192" t="s">
        <v>346</v>
      </c>
      <c r="G31" s="226">
        <v>20080</v>
      </c>
      <c r="H31" s="226">
        <v>5342876</v>
      </c>
      <c r="I31" s="192">
        <v>266</v>
      </c>
      <c r="J31" s="192">
        <f t="shared" si="0"/>
        <v>4.2560000000000002</v>
      </c>
    </row>
    <row r="32" spans="1:10">
      <c r="A32" s="192">
        <v>2016</v>
      </c>
      <c r="B32" s="192">
        <v>38231900</v>
      </c>
      <c r="C32" s="192" t="s">
        <v>360</v>
      </c>
      <c r="D32" s="192" t="s">
        <v>348</v>
      </c>
      <c r="E32" s="192" t="s">
        <v>349</v>
      </c>
      <c r="F32" s="192" t="s">
        <v>346</v>
      </c>
      <c r="G32" s="226">
        <v>20080</v>
      </c>
      <c r="H32" s="226">
        <v>5358695</v>
      </c>
      <c r="I32" s="192">
        <v>267</v>
      </c>
      <c r="J32" s="192">
        <f t="shared" si="0"/>
        <v>4.2720000000000002</v>
      </c>
    </row>
    <row r="33" spans="1:10">
      <c r="A33" s="192">
        <v>2016</v>
      </c>
      <c r="B33" s="192">
        <v>38231900</v>
      </c>
      <c r="C33" s="192" t="s">
        <v>360</v>
      </c>
      <c r="D33" s="192" t="s">
        <v>348</v>
      </c>
      <c r="E33" s="192" t="s">
        <v>349</v>
      </c>
      <c r="F33" s="192" t="s">
        <v>346</v>
      </c>
      <c r="G33" s="226">
        <v>20060</v>
      </c>
      <c r="H33" s="226">
        <v>5365210</v>
      </c>
      <c r="I33" s="192">
        <v>267</v>
      </c>
      <c r="J33" s="192">
        <f t="shared" si="0"/>
        <v>4.2720000000000002</v>
      </c>
    </row>
    <row r="34" spans="1:10">
      <c r="A34" s="192">
        <v>2016</v>
      </c>
      <c r="B34" s="192">
        <v>38231900</v>
      </c>
      <c r="C34" s="192" t="s">
        <v>360</v>
      </c>
      <c r="D34" s="192" t="s">
        <v>348</v>
      </c>
      <c r="E34" s="192" t="s">
        <v>349</v>
      </c>
      <c r="F34" s="192" t="s">
        <v>346</v>
      </c>
      <c r="G34" s="226">
        <v>20060</v>
      </c>
      <c r="H34" s="226">
        <v>5176330</v>
      </c>
      <c r="I34" s="192">
        <v>258</v>
      </c>
      <c r="J34" s="192">
        <f t="shared" si="0"/>
        <v>4.1280000000000001</v>
      </c>
    </row>
    <row r="35" spans="1:10">
      <c r="A35" s="192">
        <v>2016</v>
      </c>
      <c r="B35" s="192">
        <v>38231900</v>
      </c>
      <c r="C35" s="192" t="s">
        <v>360</v>
      </c>
      <c r="D35" s="192" t="s">
        <v>348</v>
      </c>
      <c r="E35" s="192" t="s">
        <v>349</v>
      </c>
      <c r="F35" s="192" t="s">
        <v>346</v>
      </c>
      <c r="G35" s="226">
        <v>20050</v>
      </c>
      <c r="H35" s="226">
        <v>5215906</v>
      </c>
      <c r="I35" s="192">
        <v>260</v>
      </c>
      <c r="J35" s="192">
        <f t="shared" si="0"/>
        <v>4.16</v>
      </c>
    </row>
    <row r="36" spans="1:10">
      <c r="A36" s="192">
        <v>2016</v>
      </c>
      <c r="B36" s="192">
        <v>38231900</v>
      </c>
      <c r="C36" s="192" t="s">
        <v>360</v>
      </c>
      <c r="D36" s="192" t="s">
        <v>348</v>
      </c>
      <c r="E36" s="192" t="s">
        <v>349</v>
      </c>
      <c r="F36" s="192" t="s">
        <v>346</v>
      </c>
      <c r="G36" s="226">
        <v>20040</v>
      </c>
      <c r="H36" s="226">
        <v>5359861</v>
      </c>
      <c r="I36" s="192">
        <v>267</v>
      </c>
      <c r="J36" s="192">
        <f t="shared" si="0"/>
        <v>4.2720000000000002</v>
      </c>
    </row>
    <row r="37" spans="1:10">
      <c r="A37" s="192">
        <v>2016</v>
      </c>
      <c r="B37" s="192">
        <v>38231900</v>
      </c>
      <c r="C37" s="192" t="s">
        <v>360</v>
      </c>
      <c r="D37" s="192" t="s">
        <v>348</v>
      </c>
      <c r="E37" s="192" t="s">
        <v>349</v>
      </c>
      <c r="F37" s="192" t="s">
        <v>346</v>
      </c>
      <c r="G37" s="226">
        <v>20040</v>
      </c>
      <c r="H37" s="226">
        <v>5232457</v>
      </c>
      <c r="I37" s="192">
        <v>261</v>
      </c>
      <c r="J37" s="192">
        <f t="shared" si="0"/>
        <v>4.1760000000000002</v>
      </c>
    </row>
    <row r="38" spans="1:10">
      <c r="A38" s="192">
        <v>2016</v>
      </c>
      <c r="B38" s="192">
        <v>38231900</v>
      </c>
      <c r="C38" s="192" t="s">
        <v>360</v>
      </c>
      <c r="D38" s="192" t="s">
        <v>348</v>
      </c>
      <c r="E38" s="192" t="s">
        <v>349</v>
      </c>
      <c r="F38" s="192" t="s">
        <v>346</v>
      </c>
      <c r="G38" s="226">
        <v>20030</v>
      </c>
      <c r="H38" s="226">
        <v>5222189</v>
      </c>
      <c r="I38" s="192">
        <v>261</v>
      </c>
      <c r="J38" s="192">
        <f t="shared" si="0"/>
        <v>4.1760000000000002</v>
      </c>
    </row>
    <row r="39" spans="1:10">
      <c r="A39" s="192">
        <v>2016</v>
      </c>
      <c r="B39" s="192">
        <v>38231900</v>
      </c>
      <c r="C39" s="192" t="s">
        <v>360</v>
      </c>
      <c r="D39" s="192" t="s">
        <v>348</v>
      </c>
      <c r="E39" s="192" t="s">
        <v>349</v>
      </c>
      <c r="F39" s="192" t="s">
        <v>346</v>
      </c>
      <c r="G39" s="226">
        <v>20010</v>
      </c>
      <c r="H39" s="226">
        <v>5182552</v>
      </c>
      <c r="I39" s="192">
        <v>259</v>
      </c>
      <c r="J39" s="192">
        <f t="shared" si="0"/>
        <v>4.1440000000000001</v>
      </c>
    </row>
    <row r="40" spans="1:10">
      <c r="A40" s="192">
        <v>2016</v>
      </c>
      <c r="B40" s="192">
        <v>38231900</v>
      </c>
      <c r="C40" s="192" t="s">
        <v>360</v>
      </c>
      <c r="D40" s="192" t="s">
        <v>348</v>
      </c>
      <c r="E40" s="192" t="s">
        <v>349</v>
      </c>
      <c r="F40" s="192" t="s">
        <v>346</v>
      </c>
      <c r="G40" s="226">
        <v>19990</v>
      </c>
      <c r="H40" s="226">
        <v>5154446</v>
      </c>
      <c r="I40" s="192">
        <v>258</v>
      </c>
      <c r="J40" s="192">
        <f t="shared" si="0"/>
        <v>4.1280000000000001</v>
      </c>
    </row>
    <row r="41" spans="1:10">
      <c r="A41" s="192">
        <v>2016</v>
      </c>
      <c r="B41" s="192">
        <v>38231900</v>
      </c>
      <c r="C41" s="192" t="s">
        <v>360</v>
      </c>
      <c r="D41" s="192" t="s">
        <v>348</v>
      </c>
      <c r="E41" s="192" t="s">
        <v>349</v>
      </c>
      <c r="F41" s="192" t="s">
        <v>346</v>
      </c>
      <c r="G41" s="226">
        <v>19980</v>
      </c>
      <c r="H41" s="226">
        <v>5316268</v>
      </c>
      <c r="I41" s="192">
        <v>266</v>
      </c>
      <c r="J41" s="192">
        <f t="shared" si="0"/>
        <v>4.2560000000000002</v>
      </c>
    </row>
    <row r="42" spans="1:10">
      <c r="A42" s="192">
        <v>2016</v>
      </c>
      <c r="B42" s="192">
        <v>38231900</v>
      </c>
      <c r="C42" s="192" t="s">
        <v>360</v>
      </c>
      <c r="D42" s="192" t="s">
        <v>348</v>
      </c>
      <c r="E42" s="192" t="s">
        <v>349</v>
      </c>
      <c r="F42" s="192" t="s">
        <v>346</v>
      </c>
      <c r="G42" s="226">
        <v>19970</v>
      </c>
      <c r="H42" s="226">
        <v>5317540</v>
      </c>
      <c r="I42" s="192">
        <v>266</v>
      </c>
      <c r="J42" s="192">
        <f t="shared" si="0"/>
        <v>4.2560000000000002</v>
      </c>
    </row>
    <row r="43" spans="1:10">
      <c r="A43" s="192">
        <v>2016</v>
      </c>
      <c r="B43" s="192">
        <v>38231900</v>
      </c>
      <c r="C43" s="192" t="s">
        <v>360</v>
      </c>
      <c r="D43" s="192" t="s">
        <v>348</v>
      </c>
      <c r="E43" s="192" t="s">
        <v>349</v>
      </c>
      <c r="F43" s="192" t="s">
        <v>346</v>
      </c>
      <c r="G43" s="226">
        <v>19960</v>
      </c>
      <c r="H43" s="226">
        <v>5326671</v>
      </c>
      <c r="I43" s="192">
        <v>267</v>
      </c>
      <c r="J43" s="192">
        <f t="shared" si="0"/>
        <v>4.2720000000000002</v>
      </c>
    </row>
    <row r="44" spans="1:10">
      <c r="A44" s="192">
        <v>2016</v>
      </c>
      <c r="B44" s="192">
        <v>38231900</v>
      </c>
      <c r="C44" s="192" t="s">
        <v>360</v>
      </c>
      <c r="D44" s="192" t="s">
        <v>348</v>
      </c>
      <c r="E44" s="192" t="s">
        <v>349</v>
      </c>
      <c r="F44" s="192" t="s">
        <v>346</v>
      </c>
      <c r="G44" s="226">
        <v>19950</v>
      </c>
      <c r="H44" s="226">
        <v>5201332</v>
      </c>
      <c r="I44" s="192">
        <v>261</v>
      </c>
      <c r="J44" s="192">
        <f t="shared" si="0"/>
        <v>4.1760000000000002</v>
      </c>
    </row>
    <row r="45" spans="1:10">
      <c r="A45" s="192">
        <v>2016</v>
      </c>
      <c r="B45" s="192">
        <v>38231900</v>
      </c>
      <c r="C45" s="192" t="s">
        <v>360</v>
      </c>
      <c r="D45" s="192" t="s">
        <v>348</v>
      </c>
      <c r="E45" s="192" t="s">
        <v>349</v>
      </c>
      <c r="F45" s="192" t="s">
        <v>346</v>
      </c>
      <c r="G45" s="226">
        <v>19950</v>
      </c>
      <c r="H45" s="226">
        <v>5189892</v>
      </c>
      <c r="I45" s="192">
        <v>260</v>
      </c>
      <c r="J45" s="192">
        <f t="shared" si="0"/>
        <v>4.16</v>
      </c>
    </row>
    <row r="46" spans="1:10">
      <c r="A46" s="192">
        <v>2016</v>
      </c>
      <c r="B46" s="192">
        <v>38231900</v>
      </c>
      <c r="C46" s="192" t="s">
        <v>360</v>
      </c>
      <c r="D46" s="192" t="s">
        <v>348</v>
      </c>
      <c r="E46" s="192" t="s">
        <v>349</v>
      </c>
      <c r="F46" s="192" t="s">
        <v>346</v>
      </c>
      <c r="G46" s="226">
        <v>19950</v>
      </c>
      <c r="H46" s="226">
        <v>5147946</v>
      </c>
      <c r="I46" s="192">
        <v>258</v>
      </c>
      <c r="J46" s="192">
        <f t="shared" si="0"/>
        <v>4.1280000000000001</v>
      </c>
    </row>
    <row r="47" spans="1:10">
      <c r="A47" s="192">
        <v>2016</v>
      </c>
      <c r="B47" s="192">
        <v>29159090</v>
      </c>
      <c r="C47" s="192" t="s">
        <v>361</v>
      </c>
      <c r="D47" s="192" t="s">
        <v>344</v>
      </c>
      <c r="E47" s="192" t="s">
        <v>349</v>
      </c>
      <c r="F47" s="192" t="s">
        <v>346</v>
      </c>
      <c r="G47" s="226">
        <v>3600</v>
      </c>
      <c r="H47" s="226">
        <v>1288289</v>
      </c>
      <c r="I47" s="192">
        <v>358</v>
      </c>
      <c r="J47" s="192">
        <f t="shared" si="0"/>
        <v>5.7279999999999998</v>
      </c>
    </row>
    <row r="48" spans="1:10">
      <c r="A48" s="192">
        <v>2016</v>
      </c>
      <c r="B48" s="192">
        <v>29159020</v>
      </c>
      <c r="C48" s="192" t="s">
        <v>362</v>
      </c>
      <c r="D48" s="192" t="s">
        <v>344</v>
      </c>
      <c r="E48" s="192" t="s">
        <v>349</v>
      </c>
      <c r="F48" s="192" t="s">
        <v>346</v>
      </c>
      <c r="G48" s="226">
        <v>1800</v>
      </c>
      <c r="H48" s="226">
        <v>603531</v>
      </c>
      <c r="I48" s="192">
        <v>335</v>
      </c>
      <c r="J48" s="192">
        <f t="shared" si="0"/>
        <v>5.36</v>
      </c>
    </row>
    <row r="49" spans="1:10">
      <c r="A49" s="192">
        <v>2016</v>
      </c>
      <c r="B49" s="192">
        <v>29159020</v>
      </c>
      <c r="C49" s="192" t="s">
        <v>363</v>
      </c>
      <c r="D49" s="192" t="s">
        <v>344</v>
      </c>
      <c r="E49" s="192" t="s">
        <v>349</v>
      </c>
      <c r="F49" s="192" t="s">
        <v>346</v>
      </c>
      <c r="G49" s="226">
        <v>1800</v>
      </c>
      <c r="H49" s="226">
        <v>645408</v>
      </c>
      <c r="I49" s="192">
        <v>359</v>
      </c>
      <c r="J49" s="192">
        <f t="shared" si="0"/>
        <v>5.7439999999999998</v>
      </c>
    </row>
    <row r="50" spans="1:10">
      <c r="A50" s="192">
        <v>2016</v>
      </c>
      <c r="B50" s="192">
        <v>29159090</v>
      </c>
      <c r="C50" s="192" t="s">
        <v>364</v>
      </c>
      <c r="D50" s="192" t="s">
        <v>365</v>
      </c>
      <c r="E50" s="192" t="s">
        <v>349</v>
      </c>
      <c r="F50" s="192" t="s">
        <v>346</v>
      </c>
      <c r="G50" s="226">
        <v>1700</v>
      </c>
      <c r="H50" s="226">
        <v>633665</v>
      </c>
      <c r="I50" s="226">
        <v>373</v>
      </c>
      <c r="J50" s="192">
        <f t="shared" si="0"/>
        <v>5.968</v>
      </c>
    </row>
    <row r="51" spans="1:10">
      <c r="A51" s="192">
        <v>2016</v>
      </c>
      <c r="B51" s="192">
        <v>29159090</v>
      </c>
      <c r="C51" s="192" t="s">
        <v>366</v>
      </c>
      <c r="D51" s="192" t="s">
        <v>365</v>
      </c>
      <c r="E51" s="192" t="s">
        <v>349</v>
      </c>
      <c r="F51" s="192" t="s">
        <v>346</v>
      </c>
      <c r="G51" s="226">
        <v>2550</v>
      </c>
      <c r="H51" s="226">
        <v>949063</v>
      </c>
      <c r="I51" s="192">
        <v>372</v>
      </c>
      <c r="J51" s="192">
        <f t="shared" si="0"/>
        <v>5.952</v>
      </c>
    </row>
    <row r="52" spans="1:10">
      <c r="A52" s="192">
        <v>2016</v>
      </c>
      <c r="B52" s="192">
        <v>29159090</v>
      </c>
      <c r="C52" s="192" t="s">
        <v>366</v>
      </c>
      <c r="D52" s="192" t="s">
        <v>365</v>
      </c>
      <c r="E52" s="192" t="s">
        <v>349</v>
      </c>
      <c r="F52" s="192" t="s">
        <v>346</v>
      </c>
      <c r="G52" s="226">
        <v>2550</v>
      </c>
      <c r="H52" s="226">
        <v>967644</v>
      </c>
      <c r="I52" s="192">
        <v>379</v>
      </c>
      <c r="J52" s="192">
        <f t="shared" si="0"/>
        <v>6.0640000000000001</v>
      </c>
    </row>
    <row r="53" spans="1:10">
      <c r="A53" s="192">
        <v>2016</v>
      </c>
      <c r="B53" s="192">
        <v>29159090</v>
      </c>
      <c r="C53" s="192" t="s">
        <v>366</v>
      </c>
      <c r="D53" s="192" t="s">
        <v>365</v>
      </c>
      <c r="E53" s="192" t="s">
        <v>349</v>
      </c>
      <c r="F53" s="192" t="s">
        <v>346</v>
      </c>
      <c r="G53" s="226">
        <v>1700</v>
      </c>
      <c r="H53" s="226">
        <v>651337</v>
      </c>
      <c r="I53" s="192">
        <v>383</v>
      </c>
      <c r="J53" s="192">
        <f t="shared" si="0"/>
        <v>6.1280000000000001</v>
      </c>
    </row>
    <row r="54" spans="1:10">
      <c r="A54" s="192">
        <v>2016</v>
      </c>
      <c r="B54" s="192">
        <v>29159090</v>
      </c>
      <c r="C54" s="192" t="s">
        <v>366</v>
      </c>
      <c r="D54" s="192" t="s">
        <v>365</v>
      </c>
      <c r="E54" s="192" t="s">
        <v>349</v>
      </c>
      <c r="F54" s="192" t="s">
        <v>346</v>
      </c>
      <c r="G54" s="226">
        <v>1700</v>
      </c>
      <c r="H54" s="226">
        <v>636956</v>
      </c>
      <c r="I54" s="226">
        <v>375</v>
      </c>
      <c r="J54" s="192">
        <f t="shared" si="0"/>
        <v>6</v>
      </c>
    </row>
    <row r="55" spans="1:10">
      <c r="A55" s="192">
        <v>2016</v>
      </c>
      <c r="B55" s="192">
        <v>29159090</v>
      </c>
      <c r="C55" s="192" t="s">
        <v>366</v>
      </c>
      <c r="D55" s="192" t="s">
        <v>365</v>
      </c>
      <c r="E55" s="192" t="s">
        <v>349</v>
      </c>
      <c r="F55" s="192" t="s">
        <v>346</v>
      </c>
      <c r="G55" s="226">
        <v>1700</v>
      </c>
      <c r="H55" s="226">
        <v>516405</v>
      </c>
      <c r="I55" s="192">
        <v>304</v>
      </c>
      <c r="J55" s="192">
        <f t="shared" si="0"/>
        <v>4.8639999999999999</v>
      </c>
    </row>
    <row r="56" spans="1:10">
      <c r="A56" s="192">
        <v>2016</v>
      </c>
      <c r="B56" s="192">
        <v>29159090</v>
      </c>
      <c r="C56" s="192" t="s">
        <v>366</v>
      </c>
      <c r="D56" s="192" t="s">
        <v>365</v>
      </c>
      <c r="E56" s="192" t="s">
        <v>349</v>
      </c>
      <c r="F56" s="192" t="s">
        <v>346</v>
      </c>
      <c r="G56" s="226">
        <v>1700</v>
      </c>
      <c r="H56" s="226">
        <v>516753</v>
      </c>
      <c r="I56" s="226">
        <v>304</v>
      </c>
      <c r="J56" s="192">
        <f t="shared" si="0"/>
        <v>4.8639999999999999</v>
      </c>
    </row>
    <row r="57" spans="1:10">
      <c r="A57" s="192">
        <v>2016</v>
      </c>
      <c r="B57" s="192">
        <v>29159090</v>
      </c>
      <c r="C57" s="192" t="s">
        <v>366</v>
      </c>
      <c r="D57" s="192" t="s">
        <v>365</v>
      </c>
      <c r="E57" s="192" t="s">
        <v>349</v>
      </c>
      <c r="F57" s="192" t="s">
        <v>346</v>
      </c>
      <c r="G57" s="226">
        <v>1700</v>
      </c>
      <c r="H57" s="226">
        <v>511175</v>
      </c>
      <c r="I57" s="226">
        <v>301</v>
      </c>
      <c r="J57" s="192">
        <f t="shared" si="0"/>
        <v>4.8159999999999998</v>
      </c>
    </row>
    <row r="58" spans="1:10">
      <c r="A58" s="192">
        <v>2016</v>
      </c>
      <c r="B58" s="192">
        <v>29159020</v>
      </c>
      <c r="C58" s="192" t="s">
        <v>367</v>
      </c>
      <c r="D58" s="192" t="s">
        <v>344</v>
      </c>
      <c r="E58" s="192" t="s">
        <v>357</v>
      </c>
      <c r="F58" s="192" t="s">
        <v>346</v>
      </c>
      <c r="G58" s="226">
        <v>7200</v>
      </c>
      <c r="H58" s="226">
        <v>2491980</v>
      </c>
      <c r="I58" s="192">
        <v>346</v>
      </c>
      <c r="J58" s="192">
        <f t="shared" si="0"/>
        <v>5.5360000000000005</v>
      </c>
    </row>
    <row r="59" spans="1:10">
      <c r="A59" s="192">
        <v>2016</v>
      </c>
      <c r="B59" s="192">
        <v>29159020</v>
      </c>
      <c r="C59" s="192" t="s">
        <v>368</v>
      </c>
      <c r="D59" s="192" t="s">
        <v>344</v>
      </c>
      <c r="E59" s="192" t="s">
        <v>357</v>
      </c>
      <c r="F59" s="192" t="s">
        <v>346</v>
      </c>
      <c r="G59" s="226">
        <v>7200</v>
      </c>
      <c r="H59" s="226">
        <v>2701934</v>
      </c>
      <c r="I59" s="192">
        <v>375</v>
      </c>
      <c r="J59" s="192">
        <f t="shared" si="0"/>
        <v>6</v>
      </c>
    </row>
    <row r="60" spans="1:10">
      <c r="A60" s="192">
        <v>2016</v>
      </c>
      <c r="B60" s="192">
        <v>29159020</v>
      </c>
      <c r="C60" s="192" t="s">
        <v>368</v>
      </c>
      <c r="D60" s="192" t="s">
        <v>344</v>
      </c>
      <c r="E60" s="192" t="s">
        <v>357</v>
      </c>
      <c r="F60" s="192" t="s">
        <v>346</v>
      </c>
      <c r="G60" s="226">
        <v>7200</v>
      </c>
      <c r="H60" s="226">
        <v>2457645</v>
      </c>
      <c r="I60" s="192">
        <v>341</v>
      </c>
      <c r="J60" s="192">
        <f t="shared" si="0"/>
        <v>5.4560000000000004</v>
      </c>
    </row>
    <row r="61" spans="1:10">
      <c r="A61" s="192">
        <v>2016</v>
      </c>
      <c r="B61" s="192">
        <v>29159020</v>
      </c>
      <c r="C61" s="192" t="s">
        <v>368</v>
      </c>
      <c r="D61" s="192" t="s">
        <v>344</v>
      </c>
      <c r="E61" s="192" t="s">
        <v>357</v>
      </c>
      <c r="F61" s="192" t="s">
        <v>346</v>
      </c>
      <c r="G61" s="226">
        <v>4513</v>
      </c>
      <c r="H61" s="226">
        <v>1541598</v>
      </c>
      <c r="I61" s="192">
        <v>342</v>
      </c>
      <c r="J61" s="192">
        <f t="shared" si="0"/>
        <v>5.4720000000000004</v>
      </c>
    </row>
    <row r="62" spans="1:10">
      <c r="A62" s="192">
        <v>2016</v>
      </c>
      <c r="B62" s="192">
        <v>29159020</v>
      </c>
      <c r="C62" s="192" t="s">
        <v>368</v>
      </c>
      <c r="D62" s="192" t="s">
        <v>344</v>
      </c>
      <c r="E62" s="192" t="s">
        <v>357</v>
      </c>
      <c r="F62" s="192" t="s">
        <v>346</v>
      </c>
      <c r="G62" s="226">
        <v>1876</v>
      </c>
      <c r="H62" s="226">
        <v>640824</v>
      </c>
      <c r="I62" s="192">
        <v>342</v>
      </c>
      <c r="J62" s="192">
        <f t="shared" si="0"/>
        <v>5.4720000000000004</v>
      </c>
    </row>
    <row r="63" spans="1:10">
      <c r="A63" s="192">
        <v>2016</v>
      </c>
      <c r="B63" s="192">
        <v>29159020</v>
      </c>
      <c r="C63" s="192" t="s">
        <v>369</v>
      </c>
      <c r="D63" s="192" t="s">
        <v>344</v>
      </c>
      <c r="E63" s="192" t="s">
        <v>349</v>
      </c>
      <c r="F63" s="192" t="s">
        <v>346</v>
      </c>
      <c r="G63" s="226">
        <v>13735</v>
      </c>
      <c r="H63" s="226">
        <v>4639018</v>
      </c>
      <c r="I63" s="192">
        <v>338</v>
      </c>
      <c r="J63" s="192">
        <f t="shared" si="0"/>
        <v>5.4080000000000004</v>
      </c>
    </row>
    <row r="64" spans="1:10">
      <c r="A64" s="192">
        <v>2016</v>
      </c>
      <c r="B64" s="192">
        <v>29159020</v>
      </c>
      <c r="C64" s="192" t="s">
        <v>370</v>
      </c>
      <c r="D64" s="192" t="s">
        <v>344</v>
      </c>
      <c r="E64" s="192" t="s">
        <v>349</v>
      </c>
      <c r="F64" s="192" t="s">
        <v>346</v>
      </c>
      <c r="G64" s="226">
        <v>5040</v>
      </c>
      <c r="H64" s="226">
        <v>1840924</v>
      </c>
      <c r="I64" s="192">
        <v>365</v>
      </c>
      <c r="J64" s="192">
        <f t="shared" si="0"/>
        <v>5.84</v>
      </c>
    </row>
    <row r="65" spans="1:10">
      <c r="G65" s="227"/>
      <c r="H65" s="227"/>
      <c r="I65" s="128" t="s">
        <v>0</v>
      </c>
      <c r="J65" s="228">
        <f>AVERAGE(J4:J64)</f>
        <v>5.0740983606557357</v>
      </c>
    </row>
    <row r="66" spans="1:10">
      <c r="H66" s="227"/>
      <c r="I66" s="128" t="s">
        <v>371</v>
      </c>
      <c r="J66" s="228">
        <f>MIN(J4:J64)</f>
        <v>3.984</v>
      </c>
    </row>
    <row r="67" spans="1:10">
      <c r="H67" s="227"/>
      <c r="I67" s="128" t="s">
        <v>372</v>
      </c>
      <c r="J67" s="228">
        <f>MAX(J4:J64)</f>
        <v>6.1280000000000001</v>
      </c>
    </row>
    <row r="69" spans="1:10">
      <c r="A69" s="265" t="s">
        <v>155</v>
      </c>
      <c r="B69" s="265"/>
      <c r="C69" s="265"/>
      <c r="D69" s="265"/>
      <c r="E69" s="265"/>
      <c r="F69" s="265"/>
      <c r="G69" s="265"/>
      <c r="H69" s="265"/>
      <c r="I69" s="265"/>
      <c r="J69" s="265"/>
    </row>
    <row r="70" spans="1:10">
      <c r="A70" s="192" t="s">
        <v>334</v>
      </c>
      <c r="B70" s="192" t="s">
        <v>335</v>
      </c>
      <c r="C70" s="192" t="s">
        <v>2</v>
      </c>
      <c r="D70" s="192" t="s">
        <v>336</v>
      </c>
      <c r="E70" s="192" t="s">
        <v>337</v>
      </c>
      <c r="F70" s="192" t="s">
        <v>338</v>
      </c>
      <c r="G70" s="192" t="s">
        <v>339</v>
      </c>
      <c r="H70" s="192" t="s">
        <v>340</v>
      </c>
      <c r="I70" s="192" t="s">
        <v>341</v>
      </c>
      <c r="J70" s="192" t="s">
        <v>373</v>
      </c>
    </row>
    <row r="71" spans="1:10">
      <c r="A71" s="192">
        <v>2015</v>
      </c>
      <c r="B71" s="192">
        <v>29159030</v>
      </c>
      <c r="C71" s="192" t="s">
        <v>374</v>
      </c>
      <c r="D71" s="192" t="s">
        <v>344</v>
      </c>
      <c r="E71" s="192" t="s">
        <v>349</v>
      </c>
      <c r="F71" s="192" t="s">
        <v>346</v>
      </c>
      <c r="G71" s="226">
        <v>14400</v>
      </c>
      <c r="H71" s="226">
        <v>2496449</v>
      </c>
      <c r="I71" s="192">
        <v>173</v>
      </c>
      <c r="J71" s="192">
        <f t="shared" ref="J71:J87" si="1">I71*0.016</f>
        <v>2.7680000000000002</v>
      </c>
    </row>
    <row r="72" spans="1:10">
      <c r="A72" s="192">
        <v>2016</v>
      </c>
      <c r="B72" s="192">
        <v>29159030</v>
      </c>
      <c r="C72" s="192" t="s">
        <v>375</v>
      </c>
      <c r="D72" s="192" t="s">
        <v>376</v>
      </c>
      <c r="E72" s="192" t="s">
        <v>349</v>
      </c>
      <c r="F72" s="192" t="s">
        <v>346</v>
      </c>
      <c r="G72" s="226">
        <v>13860</v>
      </c>
      <c r="H72" s="226">
        <v>1328722</v>
      </c>
      <c r="I72" s="192">
        <v>96</v>
      </c>
      <c r="J72" s="192">
        <f t="shared" si="1"/>
        <v>1.536</v>
      </c>
    </row>
    <row r="73" spans="1:10">
      <c r="A73" s="192">
        <v>2016</v>
      </c>
      <c r="B73" s="192">
        <v>29159030</v>
      </c>
      <c r="C73" s="192" t="s">
        <v>377</v>
      </c>
      <c r="D73" s="192" t="s">
        <v>344</v>
      </c>
      <c r="E73" s="192" t="s">
        <v>349</v>
      </c>
      <c r="F73" s="192" t="s">
        <v>346</v>
      </c>
      <c r="G73" s="226">
        <v>8100</v>
      </c>
      <c r="H73" s="226">
        <v>1811989</v>
      </c>
      <c r="I73" s="192">
        <v>224</v>
      </c>
      <c r="J73" s="192">
        <f t="shared" si="1"/>
        <v>3.5840000000000001</v>
      </c>
    </row>
    <row r="74" spans="1:10">
      <c r="A74" s="192">
        <v>2016</v>
      </c>
      <c r="B74" s="192">
        <v>29159030</v>
      </c>
      <c r="C74" s="192" t="s">
        <v>378</v>
      </c>
      <c r="D74" s="192" t="s">
        <v>344</v>
      </c>
      <c r="E74" s="192" t="s">
        <v>349</v>
      </c>
      <c r="F74" s="192" t="s">
        <v>346</v>
      </c>
      <c r="G74" s="226">
        <v>7200</v>
      </c>
      <c r="H74" s="226">
        <v>1382687</v>
      </c>
      <c r="I74" s="192">
        <v>192</v>
      </c>
      <c r="J74" s="192">
        <f t="shared" si="1"/>
        <v>3.0720000000000001</v>
      </c>
    </row>
    <row r="75" spans="1:10">
      <c r="A75" s="192">
        <v>2016</v>
      </c>
      <c r="B75" s="192">
        <v>29159030</v>
      </c>
      <c r="C75" s="192" t="s">
        <v>379</v>
      </c>
      <c r="D75" s="192" t="s">
        <v>344</v>
      </c>
      <c r="E75" s="192" t="s">
        <v>349</v>
      </c>
      <c r="F75" s="192" t="s">
        <v>346</v>
      </c>
      <c r="G75" s="226">
        <v>7200</v>
      </c>
      <c r="H75" s="226">
        <v>1350967</v>
      </c>
      <c r="I75" s="192">
        <v>188</v>
      </c>
      <c r="J75" s="192">
        <f t="shared" si="1"/>
        <v>3.008</v>
      </c>
    </row>
    <row r="76" spans="1:10">
      <c r="A76" s="192">
        <v>2016</v>
      </c>
      <c r="B76" s="192">
        <v>29159030</v>
      </c>
      <c r="C76" s="192" t="s">
        <v>380</v>
      </c>
      <c r="D76" s="192" t="s">
        <v>344</v>
      </c>
      <c r="E76" s="192" t="s">
        <v>349</v>
      </c>
      <c r="F76" s="192" t="s">
        <v>346</v>
      </c>
      <c r="G76" s="226">
        <v>7200</v>
      </c>
      <c r="H76" s="226">
        <v>1423003</v>
      </c>
      <c r="I76" s="192">
        <v>198</v>
      </c>
      <c r="J76" s="192">
        <f t="shared" si="1"/>
        <v>3.1680000000000001</v>
      </c>
    </row>
    <row r="77" spans="1:10">
      <c r="A77" s="192">
        <v>2016</v>
      </c>
      <c r="B77" s="192">
        <v>29159090</v>
      </c>
      <c r="C77" s="192" t="s">
        <v>381</v>
      </c>
      <c r="D77" s="192" t="s">
        <v>344</v>
      </c>
      <c r="E77" s="192" t="s">
        <v>349</v>
      </c>
      <c r="F77" s="192" t="s">
        <v>346</v>
      </c>
      <c r="G77" s="226">
        <v>5400</v>
      </c>
      <c r="H77" s="226">
        <v>1150549</v>
      </c>
      <c r="I77" s="192">
        <v>213</v>
      </c>
      <c r="J77" s="192">
        <f t="shared" si="1"/>
        <v>3.4079999999999999</v>
      </c>
    </row>
    <row r="78" spans="1:10">
      <c r="A78" s="192">
        <v>2016</v>
      </c>
      <c r="B78" s="192">
        <v>29159030</v>
      </c>
      <c r="C78" s="192" t="s">
        <v>377</v>
      </c>
      <c r="D78" s="192" t="s">
        <v>352</v>
      </c>
      <c r="E78" s="192" t="s">
        <v>349</v>
      </c>
      <c r="F78" s="192" t="s">
        <v>346</v>
      </c>
      <c r="G78" s="226">
        <v>5400</v>
      </c>
      <c r="H78" s="226">
        <v>993255</v>
      </c>
      <c r="I78" s="192">
        <v>184</v>
      </c>
      <c r="J78" s="192">
        <f t="shared" si="1"/>
        <v>2.944</v>
      </c>
    </row>
    <row r="79" spans="1:10">
      <c r="A79" s="192">
        <v>2015</v>
      </c>
      <c r="B79" s="192">
        <v>29159030</v>
      </c>
      <c r="C79" s="192" t="s">
        <v>374</v>
      </c>
      <c r="D79" s="192" t="s">
        <v>344</v>
      </c>
      <c r="E79" s="192" t="s">
        <v>349</v>
      </c>
      <c r="F79" s="192" t="s">
        <v>346</v>
      </c>
      <c r="G79" s="226">
        <v>5040</v>
      </c>
      <c r="H79" s="226">
        <v>873757</v>
      </c>
      <c r="I79" s="192">
        <v>173</v>
      </c>
      <c r="J79" s="192">
        <f t="shared" si="1"/>
        <v>2.7680000000000002</v>
      </c>
    </row>
    <row r="80" spans="1:10">
      <c r="A80" s="192">
        <v>2015</v>
      </c>
      <c r="B80" s="192">
        <v>29159030</v>
      </c>
      <c r="C80" s="192" t="s">
        <v>374</v>
      </c>
      <c r="D80" s="192" t="s">
        <v>344</v>
      </c>
      <c r="E80" s="192" t="s">
        <v>349</v>
      </c>
      <c r="F80" s="192" t="s">
        <v>346</v>
      </c>
      <c r="G80" s="226">
        <v>5040</v>
      </c>
      <c r="H80" s="226">
        <v>873757</v>
      </c>
      <c r="I80" s="192">
        <v>173</v>
      </c>
      <c r="J80" s="192">
        <f t="shared" si="1"/>
        <v>2.7680000000000002</v>
      </c>
    </row>
    <row r="81" spans="1:10">
      <c r="A81" s="192">
        <v>2015</v>
      </c>
      <c r="B81" s="192">
        <v>29159030</v>
      </c>
      <c r="C81" s="192" t="s">
        <v>379</v>
      </c>
      <c r="D81" s="192" t="s">
        <v>344</v>
      </c>
      <c r="E81" s="192" t="s">
        <v>349</v>
      </c>
      <c r="F81" s="192" t="s">
        <v>346</v>
      </c>
      <c r="G81" s="226">
        <v>4859</v>
      </c>
      <c r="H81" s="226">
        <v>782375</v>
      </c>
      <c r="I81" s="192">
        <v>161</v>
      </c>
      <c r="J81" s="192">
        <f t="shared" si="1"/>
        <v>2.5760000000000001</v>
      </c>
    </row>
    <row r="82" spans="1:10">
      <c r="A82" s="192">
        <v>2015</v>
      </c>
      <c r="B82" s="192">
        <v>29159030</v>
      </c>
      <c r="C82" s="192" t="s">
        <v>377</v>
      </c>
      <c r="D82" s="192" t="s">
        <v>352</v>
      </c>
      <c r="E82" s="192" t="s">
        <v>349</v>
      </c>
      <c r="F82" s="192" t="s">
        <v>346</v>
      </c>
      <c r="G82" s="226">
        <v>2880</v>
      </c>
      <c r="H82" s="226">
        <v>552948</v>
      </c>
      <c r="I82" s="192">
        <v>192</v>
      </c>
      <c r="J82" s="192">
        <f t="shared" si="1"/>
        <v>3.0720000000000001</v>
      </c>
    </row>
    <row r="83" spans="1:10">
      <c r="A83" s="192">
        <v>2015</v>
      </c>
      <c r="B83" s="192">
        <v>29159030</v>
      </c>
      <c r="C83" s="192" t="s">
        <v>379</v>
      </c>
      <c r="D83" s="192" t="s">
        <v>344</v>
      </c>
      <c r="E83" s="192" t="s">
        <v>349</v>
      </c>
      <c r="F83" s="192" t="s">
        <v>346</v>
      </c>
      <c r="G83" s="226">
        <v>2341</v>
      </c>
      <c r="H83" s="226">
        <v>376938</v>
      </c>
      <c r="I83" s="192">
        <v>161</v>
      </c>
      <c r="J83" s="192">
        <f t="shared" si="1"/>
        <v>2.5760000000000001</v>
      </c>
    </row>
    <row r="84" spans="1:10">
      <c r="A84" s="192">
        <v>2016</v>
      </c>
      <c r="B84" s="192">
        <v>29159030</v>
      </c>
      <c r="C84" s="192" t="s">
        <v>379</v>
      </c>
      <c r="D84" s="192" t="s">
        <v>344</v>
      </c>
      <c r="E84" s="192" t="s">
        <v>349</v>
      </c>
      <c r="F84" s="192" t="s">
        <v>346</v>
      </c>
      <c r="G84" s="226">
        <v>2242</v>
      </c>
      <c r="H84" s="226">
        <v>374716</v>
      </c>
      <c r="I84" s="192">
        <v>167</v>
      </c>
      <c r="J84" s="192">
        <f t="shared" si="1"/>
        <v>2.6720000000000002</v>
      </c>
    </row>
    <row r="85" spans="1:10">
      <c r="A85" s="192">
        <v>2016</v>
      </c>
      <c r="B85" s="192">
        <v>29159030</v>
      </c>
      <c r="C85" s="192" t="s">
        <v>382</v>
      </c>
      <c r="D85" s="192" t="s">
        <v>352</v>
      </c>
      <c r="E85" s="192" t="s">
        <v>357</v>
      </c>
      <c r="F85" s="192" t="s">
        <v>346</v>
      </c>
      <c r="G85" s="226">
        <v>2160</v>
      </c>
      <c r="H85" s="226">
        <v>443410</v>
      </c>
      <c r="I85" s="192">
        <v>205</v>
      </c>
      <c r="J85" s="192">
        <f t="shared" si="1"/>
        <v>3.2800000000000002</v>
      </c>
    </row>
    <row r="86" spans="1:10">
      <c r="A86" s="192">
        <v>2016</v>
      </c>
      <c r="B86" s="192">
        <v>29159030</v>
      </c>
      <c r="C86" s="192" t="s">
        <v>377</v>
      </c>
      <c r="D86" s="192" t="s">
        <v>352</v>
      </c>
      <c r="E86" s="192" t="s">
        <v>349</v>
      </c>
      <c r="F86" s="192" t="s">
        <v>346</v>
      </c>
      <c r="G86" s="226">
        <v>2160</v>
      </c>
      <c r="H86" s="226">
        <v>439483</v>
      </c>
      <c r="I86" s="192">
        <v>203</v>
      </c>
      <c r="J86" s="192">
        <f t="shared" si="1"/>
        <v>3.2480000000000002</v>
      </c>
    </row>
    <row r="87" spans="1:10">
      <c r="A87" s="192">
        <v>2016</v>
      </c>
      <c r="B87" s="192">
        <v>29159030</v>
      </c>
      <c r="C87" s="192" t="s">
        <v>379</v>
      </c>
      <c r="D87" s="192" t="s">
        <v>344</v>
      </c>
      <c r="E87" s="192" t="s">
        <v>349</v>
      </c>
      <c r="F87" s="192" t="s">
        <v>346</v>
      </c>
      <c r="G87" s="226">
        <v>1358</v>
      </c>
      <c r="H87" s="226">
        <v>226969</v>
      </c>
      <c r="I87" s="192">
        <v>167</v>
      </c>
      <c r="J87" s="192">
        <f t="shared" si="1"/>
        <v>2.6720000000000002</v>
      </c>
    </row>
    <row r="88" spans="1:10">
      <c r="A88" s="229"/>
      <c r="B88" s="229"/>
      <c r="C88" s="229"/>
      <c r="D88" s="229"/>
      <c r="E88" s="229"/>
      <c r="F88" s="229"/>
      <c r="G88" s="230"/>
      <c r="H88" s="229"/>
      <c r="I88" s="229" t="s">
        <v>0</v>
      </c>
      <c r="J88" s="231">
        <f>AVERAGE(J71:J87)</f>
        <v>2.8894117647058821</v>
      </c>
    </row>
    <row r="89" spans="1:10">
      <c r="A89" s="229"/>
      <c r="B89" s="229"/>
      <c r="C89" s="229"/>
      <c r="D89" s="229"/>
      <c r="E89" s="229"/>
      <c r="F89" s="229"/>
      <c r="G89" s="229"/>
      <c r="H89" s="229"/>
      <c r="I89" s="229" t="s">
        <v>371</v>
      </c>
      <c r="J89" s="231">
        <f>MIN(J71:J87)</f>
        <v>1.536</v>
      </c>
    </row>
    <row r="90" spans="1:10">
      <c r="A90" s="229"/>
      <c r="B90" s="229"/>
      <c r="C90" s="229"/>
      <c r="D90" s="229"/>
      <c r="E90" s="229"/>
      <c r="F90" s="229"/>
      <c r="G90" s="229"/>
      <c r="H90" s="229"/>
      <c r="I90" s="229" t="s">
        <v>372</v>
      </c>
      <c r="J90" s="231">
        <f>MAX(J71:J87)</f>
        <v>3.5840000000000001</v>
      </c>
    </row>
    <row r="91" spans="1:10">
      <c r="J91" s="228"/>
    </row>
    <row r="92" spans="1:10">
      <c r="A92" s="265" t="s">
        <v>151</v>
      </c>
      <c r="B92" s="265"/>
      <c r="C92" s="265"/>
      <c r="D92" s="265"/>
      <c r="E92" s="265"/>
      <c r="F92" s="265"/>
      <c r="G92" s="265"/>
      <c r="H92" s="265"/>
      <c r="I92" s="265"/>
      <c r="J92" s="265"/>
    </row>
    <row r="93" spans="1:10">
      <c r="A93" s="192" t="s">
        <v>334</v>
      </c>
      <c r="B93" s="192" t="s">
        <v>335</v>
      </c>
      <c r="C93" s="192" t="s">
        <v>2</v>
      </c>
      <c r="D93" s="192" t="s">
        <v>336</v>
      </c>
      <c r="E93" s="192" t="s">
        <v>337</v>
      </c>
      <c r="F93" s="192" t="s">
        <v>338</v>
      </c>
      <c r="G93" s="192" t="s">
        <v>339</v>
      </c>
      <c r="H93" s="192" t="s">
        <v>340</v>
      </c>
      <c r="I93" s="192" t="s">
        <v>341</v>
      </c>
      <c r="J93" s="192" t="s">
        <v>373</v>
      </c>
    </row>
    <row r="94" spans="1:10">
      <c r="A94" s="192">
        <v>2016</v>
      </c>
      <c r="B94" s="192">
        <v>29051690</v>
      </c>
      <c r="C94" s="192" t="s">
        <v>383</v>
      </c>
      <c r="D94" s="192" t="s">
        <v>384</v>
      </c>
      <c r="E94" s="192" t="s">
        <v>349</v>
      </c>
      <c r="F94" s="192" t="s">
        <v>346</v>
      </c>
      <c r="G94" s="226">
        <v>18530</v>
      </c>
      <c r="H94" s="226">
        <v>1733387</v>
      </c>
      <c r="I94" s="192">
        <v>94</v>
      </c>
      <c r="J94" s="192">
        <f t="shared" ref="J94:J103" si="2">I94*0.016</f>
        <v>1.504</v>
      </c>
    </row>
    <row r="95" spans="1:10">
      <c r="A95" s="192">
        <v>2016</v>
      </c>
      <c r="B95" s="192">
        <v>29051690</v>
      </c>
      <c r="C95" s="192" t="s">
        <v>385</v>
      </c>
      <c r="D95" s="192" t="s">
        <v>376</v>
      </c>
      <c r="E95" s="192" t="s">
        <v>349</v>
      </c>
      <c r="F95" s="192" t="s">
        <v>346</v>
      </c>
      <c r="G95" s="226">
        <v>20970</v>
      </c>
      <c r="H95" s="226">
        <v>1668427</v>
      </c>
      <c r="I95" s="192">
        <v>80</v>
      </c>
      <c r="J95" s="192">
        <f t="shared" si="2"/>
        <v>1.28</v>
      </c>
    </row>
    <row r="96" spans="1:10">
      <c r="A96" s="192">
        <v>2016</v>
      </c>
      <c r="B96" s="192">
        <v>29051690</v>
      </c>
      <c r="C96" s="192" t="s">
        <v>383</v>
      </c>
      <c r="D96" s="192" t="s">
        <v>384</v>
      </c>
      <c r="E96" s="192" t="s">
        <v>349</v>
      </c>
      <c r="F96" s="192" t="s">
        <v>346</v>
      </c>
      <c r="G96" s="226">
        <v>18630</v>
      </c>
      <c r="H96" s="226">
        <v>1739169</v>
      </c>
      <c r="I96" s="192">
        <v>93</v>
      </c>
      <c r="J96" s="192">
        <f t="shared" si="2"/>
        <v>1.488</v>
      </c>
    </row>
    <row r="97" spans="1:10">
      <c r="A97" s="192">
        <v>2016</v>
      </c>
      <c r="B97" s="192">
        <v>29051690</v>
      </c>
      <c r="C97" s="192" t="s">
        <v>386</v>
      </c>
      <c r="D97" s="192" t="s">
        <v>384</v>
      </c>
      <c r="E97" s="192" t="s">
        <v>349</v>
      </c>
      <c r="F97" s="192" t="s">
        <v>346</v>
      </c>
      <c r="G97" s="226">
        <v>18610</v>
      </c>
      <c r="H97" s="226">
        <v>1780973</v>
      </c>
      <c r="I97" s="192">
        <v>96</v>
      </c>
      <c r="J97" s="192">
        <f t="shared" si="2"/>
        <v>1.536</v>
      </c>
    </row>
    <row r="98" spans="1:10">
      <c r="A98" s="192">
        <v>2016</v>
      </c>
      <c r="B98" s="192">
        <v>29051690</v>
      </c>
      <c r="C98" s="192" t="s">
        <v>387</v>
      </c>
      <c r="D98" s="192" t="s">
        <v>376</v>
      </c>
      <c r="E98" s="192" t="s">
        <v>349</v>
      </c>
      <c r="F98" s="192" t="s">
        <v>346</v>
      </c>
      <c r="G98" s="226">
        <v>20830</v>
      </c>
      <c r="H98" s="226">
        <v>1673900</v>
      </c>
      <c r="I98" s="192">
        <v>80</v>
      </c>
      <c r="J98" s="192">
        <f t="shared" si="2"/>
        <v>1.28</v>
      </c>
    </row>
    <row r="99" spans="1:10">
      <c r="A99" s="192">
        <v>2016</v>
      </c>
      <c r="B99" s="192">
        <v>29051690</v>
      </c>
      <c r="C99" s="192" t="s">
        <v>388</v>
      </c>
      <c r="D99" s="192" t="s">
        <v>376</v>
      </c>
      <c r="E99" s="192" t="s">
        <v>349</v>
      </c>
      <c r="F99" s="192" t="s">
        <v>346</v>
      </c>
      <c r="G99" s="226">
        <v>11520</v>
      </c>
      <c r="H99" s="226">
        <v>1288759</v>
      </c>
      <c r="I99" s="192">
        <v>112</v>
      </c>
      <c r="J99" s="192">
        <f t="shared" si="2"/>
        <v>1.792</v>
      </c>
    </row>
    <row r="100" spans="1:10">
      <c r="A100" s="192">
        <v>2016</v>
      </c>
      <c r="B100" s="192">
        <v>29051690</v>
      </c>
      <c r="C100" s="192" t="s">
        <v>389</v>
      </c>
      <c r="D100" s="192" t="s">
        <v>376</v>
      </c>
      <c r="E100" s="192" t="s">
        <v>349</v>
      </c>
      <c r="F100" s="192" t="s">
        <v>346</v>
      </c>
      <c r="G100" s="226">
        <v>20950</v>
      </c>
      <c r="H100" s="226">
        <v>1665584</v>
      </c>
      <c r="I100" s="192">
        <v>80</v>
      </c>
      <c r="J100" s="192">
        <f t="shared" si="2"/>
        <v>1.28</v>
      </c>
    </row>
    <row r="101" spans="1:10">
      <c r="A101" s="192">
        <v>2016</v>
      </c>
      <c r="B101" s="192">
        <v>29051690</v>
      </c>
      <c r="C101" s="192" t="s">
        <v>383</v>
      </c>
      <c r="D101" s="192" t="s">
        <v>384</v>
      </c>
      <c r="E101" s="192" t="s">
        <v>349</v>
      </c>
      <c r="F101" s="192" t="s">
        <v>346</v>
      </c>
      <c r="G101" s="226">
        <v>18400</v>
      </c>
      <c r="H101" s="226">
        <v>2011389</v>
      </c>
      <c r="I101" s="192">
        <v>109</v>
      </c>
      <c r="J101" s="192">
        <f t="shared" si="2"/>
        <v>1.744</v>
      </c>
    </row>
    <row r="102" spans="1:10">
      <c r="A102" s="192">
        <v>2016</v>
      </c>
      <c r="B102" s="192">
        <v>29051690</v>
      </c>
      <c r="C102" s="192" t="s">
        <v>383</v>
      </c>
      <c r="D102" s="192" t="s">
        <v>376</v>
      </c>
      <c r="E102" s="192" t="s">
        <v>349</v>
      </c>
      <c r="F102" s="192" t="s">
        <v>346</v>
      </c>
      <c r="G102" s="226">
        <v>18510</v>
      </c>
      <c r="H102" s="226">
        <v>2057959</v>
      </c>
      <c r="I102" s="192">
        <v>111</v>
      </c>
      <c r="J102" s="192">
        <f t="shared" si="2"/>
        <v>1.776</v>
      </c>
    </row>
    <row r="103" spans="1:10">
      <c r="A103" s="192">
        <v>2016</v>
      </c>
      <c r="B103" s="192">
        <v>29051690</v>
      </c>
      <c r="C103" s="192" t="s">
        <v>383</v>
      </c>
      <c r="D103" s="192" t="s">
        <v>376</v>
      </c>
      <c r="E103" s="192" t="s">
        <v>349</v>
      </c>
      <c r="F103" s="192" t="s">
        <v>346</v>
      </c>
      <c r="G103" s="226">
        <v>18540</v>
      </c>
      <c r="H103" s="226">
        <v>2055768</v>
      </c>
      <c r="I103" s="192">
        <v>111</v>
      </c>
      <c r="J103" s="192">
        <f t="shared" si="2"/>
        <v>1.776</v>
      </c>
    </row>
    <row r="104" spans="1:10">
      <c r="I104" s="128" t="s">
        <v>0</v>
      </c>
      <c r="J104" s="228">
        <f>AVERAGE(J94:J103)</f>
        <v>1.5455999999999999</v>
      </c>
    </row>
    <row r="105" spans="1:10">
      <c r="I105" s="128" t="s">
        <v>371</v>
      </c>
      <c r="J105" s="228">
        <f>MIN(J94:J103)</f>
        <v>1.28</v>
      </c>
    </row>
    <row r="106" spans="1:10">
      <c r="I106" s="128" t="s">
        <v>372</v>
      </c>
      <c r="J106" s="228">
        <f>MAX(J94:J103)</f>
        <v>1.792</v>
      </c>
    </row>
  </sheetData>
  <mergeCells count="4">
    <mergeCell ref="A2:J2"/>
    <mergeCell ref="A69:J69"/>
    <mergeCell ref="A92:J92"/>
    <mergeCell ref="A1:J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Table_S11</vt:lpstr>
      <vt:lpstr>Table_S12</vt:lpstr>
      <vt:lpstr>Table_S13</vt:lpstr>
      <vt:lpstr>Table_S14</vt:lpstr>
      <vt:lpstr>Table_S15</vt:lpstr>
      <vt:lpstr>Table_S16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Metabolomics</dc:creator>
  <cp:lastModifiedBy>Matthew Scarborough</cp:lastModifiedBy>
  <cp:lastPrinted>2017-06-12T20:22:34Z</cp:lastPrinted>
  <dcterms:created xsi:type="dcterms:W3CDTF">2017-04-21T15:15:50Z</dcterms:created>
  <dcterms:modified xsi:type="dcterms:W3CDTF">2018-02-05T17:21:03Z</dcterms:modified>
</cp:coreProperties>
</file>